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HP\Documents\Dàssier_CEA_EMIG_2024\080624_PTBA_Revu_vp\091024_PTBA_REV\"/>
    </mc:Choice>
  </mc:AlternateContent>
  <bookViews>
    <workbookView xWindow="0" yWindow="0" windowWidth="19200" windowHeight="6930"/>
  </bookViews>
  <sheets>
    <sheet name="PTBA_2024" sheetId="7" r:id="rId1"/>
    <sheet name="Etat_decaissement" sheetId="6" r:id="rId2"/>
    <sheet name="Table_DLI" sheetId="8" r:id="rId3"/>
  </sheet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14" i="7" l="1"/>
  <c r="W141" i="7"/>
  <c r="W82" i="7"/>
  <c r="W13" i="7"/>
  <c r="W19" i="7"/>
  <c r="W23" i="7"/>
  <c r="W26" i="7"/>
  <c r="W35" i="7"/>
  <c r="W44" i="7"/>
  <c r="W54" i="7"/>
  <c r="W61" i="7"/>
  <c r="W89" i="7"/>
  <c r="W92" i="7"/>
  <c r="W95" i="7"/>
  <c r="W100" i="7"/>
  <c r="W103" i="7"/>
  <c r="W126" i="7"/>
  <c r="W129" i="7"/>
  <c r="W134" i="7"/>
  <c r="W140" i="7"/>
  <c r="V144" i="7"/>
  <c r="V146" i="7"/>
  <c r="P27" i="6"/>
  <c r="P22" i="6"/>
  <c r="P17" i="6"/>
  <c r="P14" i="6"/>
  <c r="P10" i="6"/>
  <c r="P29" i="6"/>
  <c r="P31" i="6"/>
  <c r="X101" i="7"/>
  <c r="X63" i="7"/>
  <c r="X119" i="7"/>
  <c r="X116" i="7"/>
  <c r="X123" i="7"/>
  <c r="X127" i="7"/>
  <c r="X130" i="7"/>
  <c r="X135" i="7"/>
  <c r="X141" i="7"/>
  <c r="P23" i="6"/>
  <c r="P24" i="6"/>
  <c r="P25" i="6"/>
  <c r="P26" i="6"/>
  <c r="P18" i="6"/>
  <c r="P19" i="6"/>
  <c r="P20" i="6"/>
  <c r="P21" i="6"/>
  <c r="P5" i="6"/>
  <c r="P6" i="6"/>
  <c r="P7" i="6"/>
  <c r="P8" i="6"/>
  <c r="P9" i="6"/>
  <c r="P11" i="6"/>
  <c r="P12" i="6"/>
  <c r="P13" i="6"/>
  <c r="P15" i="6"/>
  <c r="P16" i="6"/>
  <c r="L22" i="6"/>
  <c r="N10" i="6"/>
  <c r="M10" i="6"/>
  <c r="I14" i="8"/>
  <c r="I18" i="8"/>
  <c r="I24" i="8"/>
  <c r="I29" i="8"/>
  <c r="I31" i="8"/>
  <c r="I32" i="8"/>
  <c r="I34" i="8"/>
  <c r="I36" i="8"/>
  <c r="I37" i="8"/>
  <c r="I38" i="8"/>
  <c r="I40" i="8"/>
  <c r="I47" i="8"/>
  <c r="I49" i="8"/>
  <c r="H14" i="8"/>
  <c r="H17" i="8"/>
  <c r="H18" i="8"/>
  <c r="H24" i="8"/>
  <c r="H29" i="8"/>
  <c r="H31" i="8"/>
  <c r="H32" i="8"/>
  <c r="H34" i="8"/>
  <c r="H36" i="8"/>
  <c r="H37" i="8"/>
  <c r="H38" i="8"/>
  <c r="H39" i="8"/>
  <c r="H40" i="8"/>
  <c r="H47" i="8"/>
  <c r="H49" i="8"/>
  <c r="G14" i="8"/>
  <c r="G24" i="8"/>
  <c r="G29" i="8"/>
  <c r="G31" i="8"/>
  <c r="G32" i="8"/>
  <c r="G34" i="8"/>
  <c r="G36" i="8"/>
  <c r="G38" i="8"/>
  <c r="G39" i="8"/>
  <c r="G40" i="8"/>
  <c r="G47" i="8"/>
  <c r="G49" i="8"/>
  <c r="F14" i="8"/>
  <c r="F16" i="8"/>
  <c r="F18" i="8"/>
  <c r="F24" i="8"/>
  <c r="F29" i="8"/>
  <c r="F31" i="8"/>
  <c r="F32" i="8"/>
  <c r="F34" i="8"/>
  <c r="F36" i="8"/>
  <c r="F37" i="8"/>
  <c r="F38" i="8"/>
  <c r="F39" i="8"/>
  <c r="F40" i="8"/>
  <c r="F47" i="8"/>
  <c r="F49" i="8"/>
  <c r="E11" i="8"/>
  <c r="E14" i="8"/>
  <c r="E24" i="8"/>
  <c r="E29" i="8"/>
  <c r="E31" i="8"/>
  <c r="E32" i="8"/>
  <c r="E34" i="8"/>
  <c r="E37" i="8"/>
  <c r="E38" i="8"/>
  <c r="E40" i="8"/>
  <c r="E47" i="8"/>
  <c r="E49" i="8"/>
  <c r="B14" i="8"/>
  <c r="B18" i="8"/>
  <c r="B24" i="8"/>
  <c r="B29" i="8"/>
  <c r="B34" i="8"/>
  <c r="B40" i="8"/>
  <c r="B47" i="8"/>
  <c r="B49" i="8"/>
  <c r="I46" i="8"/>
  <c r="H45" i="8"/>
  <c r="F45" i="8"/>
  <c r="G44" i="8"/>
  <c r="H42" i="8"/>
  <c r="B41" i="8"/>
  <c r="B35" i="8"/>
  <c r="B30" i="8"/>
  <c r="H28" i="8"/>
  <c r="G28" i="8"/>
  <c r="I27" i="8"/>
  <c r="H27" i="8"/>
  <c r="G27" i="8"/>
  <c r="F27" i="8"/>
  <c r="E27" i="8"/>
  <c r="I26" i="8"/>
  <c r="G26" i="8"/>
  <c r="F26" i="8"/>
  <c r="B25" i="8"/>
  <c r="I23" i="8"/>
  <c r="H23" i="8"/>
  <c r="G23" i="8"/>
  <c r="F23" i="8"/>
  <c r="E23" i="8"/>
  <c r="I22" i="8"/>
  <c r="H22" i="8"/>
  <c r="G22" i="8"/>
  <c r="F22" i="8"/>
  <c r="I21" i="8"/>
  <c r="H21" i="8"/>
  <c r="G21" i="8"/>
  <c r="I20" i="8"/>
  <c r="H20" i="8"/>
  <c r="G20" i="8"/>
  <c r="F20" i="8"/>
  <c r="E20" i="8"/>
  <c r="B19" i="8"/>
  <c r="B15" i="8"/>
  <c r="B11" i="8"/>
  <c r="O10" i="6"/>
  <c r="M22" i="6"/>
  <c r="N22" i="6"/>
  <c r="O22" i="6"/>
  <c r="O14" i="6"/>
  <c r="O17" i="6"/>
  <c r="O29" i="6"/>
  <c r="N14" i="6"/>
  <c r="N17" i="6"/>
  <c r="N29" i="6"/>
  <c r="M14" i="6"/>
  <c r="M17" i="6"/>
  <c r="M29" i="6"/>
  <c r="L14" i="6"/>
  <c r="L10" i="6"/>
  <c r="L17" i="6"/>
  <c r="L29" i="6"/>
  <c r="I4" i="6"/>
  <c r="I5" i="6"/>
  <c r="I10" i="6"/>
  <c r="I14" i="6"/>
  <c r="I17" i="6"/>
  <c r="D22" i="6"/>
  <c r="E22" i="6"/>
  <c r="F22" i="6"/>
  <c r="G22" i="6"/>
  <c r="H22" i="6"/>
  <c r="I22" i="6"/>
  <c r="I27" i="6"/>
  <c r="I29" i="6"/>
  <c r="C10" i="6"/>
  <c r="C14" i="6"/>
  <c r="C17" i="6"/>
  <c r="C22" i="6"/>
  <c r="C27" i="6"/>
  <c r="C29" i="6"/>
  <c r="J29" i="6"/>
  <c r="H29" i="6"/>
  <c r="G29" i="6"/>
  <c r="F29" i="6"/>
  <c r="E29" i="6"/>
  <c r="D29" i="6"/>
  <c r="O27" i="6"/>
  <c r="N27" i="6"/>
  <c r="M27" i="6"/>
  <c r="L27" i="6"/>
  <c r="J27" i="6"/>
  <c r="I26" i="6"/>
  <c r="J26" i="6"/>
  <c r="I25" i="6"/>
  <c r="J25" i="6"/>
  <c r="I24" i="6"/>
  <c r="J24" i="6"/>
  <c r="I23" i="6"/>
  <c r="J23" i="6"/>
  <c r="J22" i="6"/>
  <c r="I21" i="6"/>
  <c r="I20" i="6"/>
  <c r="J20" i="6"/>
  <c r="I19" i="6"/>
  <c r="J19" i="6"/>
  <c r="I18" i="6"/>
  <c r="J18" i="6"/>
  <c r="J17" i="6"/>
  <c r="I16" i="6"/>
  <c r="J16" i="6"/>
  <c r="I15" i="6"/>
  <c r="J15" i="6"/>
  <c r="J14" i="6"/>
  <c r="I13" i="6"/>
  <c r="J13" i="6"/>
  <c r="I12" i="6"/>
  <c r="J12" i="6"/>
  <c r="I11" i="6"/>
  <c r="J11" i="6"/>
  <c r="J10" i="6"/>
  <c r="I9" i="6"/>
  <c r="J9" i="6"/>
  <c r="I8" i="6"/>
  <c r="J8" i="6"/>
  <c r="I7" i="6"/>
  <c r="J7" i="6"/>
  <c r="I6" i="6"/>
  <c r="J6" i="6"/>
  <c r="J5" i="6"/>
  <c r="P4" i="6"/>
  <c r="J4" i="6"/>
  <c r="AC97" i="7"/>
  <c r="AB18" i="7"/>
</calcChain>
</file>

<file path=xl/sharedStrings.xml><?xml version="1.0" encoding="utf-8"?>
<sst xmlns="http://schemas.openxmlformats.org/spreadsheetml/2006/main" count="669" uniqueCount="434">
  <si>
    <t>Nom du centre</t>
  </si>
  <si>
    <t>CEA_EM_EMIG</t>
  </si>
  <si>
    <t>Institution</t>
  </si>
  <si>
    <t>Ecole des Mines, de l'industrie et de la Géologie (EMIG)</t>
  </si>
  <si>
    <t>Dans les délais prévus</t>
  </si>
  <si>
    <t>Pays</t>
  </si>
  <si>
    <t>Niger</t>
  </si>
  <si>
    <t>Leader du centre</t>
  </si>
  <si>
    <t>Dr OUSMAN MAHAMADOU</t>
  </si>
  <si>
    <t>En retard sur le programme</t>
  </si>
  <si>
    <t>Plan de travail annuel (mois XXX-mois XXX, année)</t>
  </si>
  <si>
    <t>Activités du plan de travail</t>
  </si>
  <si>
    <t>Description</t>
  </si>
  <si>
    <t>Contribution des partenaires (le cas échéant)</t>
  </si>
  <si>
    <t>Etapes / Résultats</t>
  </si>
  <si>
    <t>Si NOUVEAU, fournir une justification</t>
  </si>
  <si>
    <t>Budget estimé ($)</t>
  </si>
  <si>
    <t>Estimation des recettes ($)</t>
  </si>
  <si>
    <t>Contribution du partenaire ($)</t>
  </si>
  <si>
    <t>Responsible</t>
  </si>
  <si>
    <t>Jan</t>
  </si>
  <si>
    <t>Feb</t>
  </si>
  <si>
    <t>Mar</t>
  </si>
  <si>
    <t>Avr</t>
  </si>
  <si>
    <t>Mai</t>
  </si>
  <si>
    <t>Jui</t>
  </si>
  <si>
    <t>Jul</t>
  </si>
  <si>
    <t>Aout</t>
  </si>
  <si>
    <t>Sep</t>
  </si>
  <si>
    <t>Oct</t>
  </si>
  <si>
    <t>Nov</t>
  </si>
  <si>
    <t>Dec</t>
  </si>
  <si>
    <t>Action 2: A-2-Assurer une gouvernance de qualité\Action du DLI 2</t>
  </si>
  <si>
    <t>Sous-Action 2a:A-2-1- Formation des membres de l’équipe de gestion CEA-EM</t>
  </si>
  <si>
    <t>Activité 1: Formation des membres 
de l’équipe de gestion CEA-EM</t>
  </si>
  <si>
    <t>Rapport de formation, 
Certificat de formation</t>
  </si>
  <si>
    <t>Centre</t>
  </si>
  <si>
    <t>Sous-Action 2b: A-2-2- Cérémonies de remise de diplôme et réunions des différents comités</t>
  </si>
  <si>
    <t>Organisation de la réunion du CCS</t>
  </si>
  <si>
    <t>CEA_EM-EMIG</t>
  </si>
  <si>
    <t>Procès-verbaux des réunions.</t>
  </si>
  <si>
    <t>PM</t>
  </si>
  <si>
    <t>Organisation de la réunion du CCSI</t>
  </si>
  <si>
    <t>Organisation de la réunion</t>
  </si>
  <si>
    <t>Missions  de rencontre régionale</t>
  </si>
  <si>
    <t>Tous les membres de l'équipe CEA_EM-EMIG ont participé à deux reunions regionales;
Experiences capitalisés;
Sessions parallèles avec formations aux nouveaux outils;
Mises à jours des IDLs du projet;
Appropriation par les Centres des directives et Orientation de l'AUA et de la BM</t>
  </si>
  <si>
    <t>Ordre et rapport des missions</t>
  </si>
  <si>
    <t xml:space="preserve">Sous-Action 2c: A-2-3- Communication 
interne et externe
</t>
  </si>
  <si>
    <t xml:space="preserve">Activité 1: Développement d’une stratégie de 
communication interne et externe </t>
  </si>
  <si>
    <t>CEA_EM-EMIG, EMIG</t>
  </si>
  <si>
    <t>Activité 2: Rémunération du communicateur-Webmaster</t>
  </si>
  <si>
    <t>Suivi et mise à jour du site; Meilleure visiblité du site</t>
  </si>
  <si>
    <t>Action 3: A-3-Développer la formation 
et améliorer sa qualité\Action du DLI 3</t>
  </si>
  <si>
    <t>Sous-Action 3a: A-3-2- Amélioration des conditions de travail des étudiants</t>
  </si>
  <si>
    <t>Abonnement internet haut débit et bibliothèque numérique</t>
  </si>
  <si>
    <t>Factures</t>
  </si>
  <si>
    <t>Achat des produits pharmaceutiques 
et disponibilité des produits</t>
  </si>
  <si>
    <t xml:space="preserve">Bon de commande, PV de réception
</t>
  </si>
  <si>
    <t>Sous-Action 3c: A-3-3- Formations de courte durée</t>
  </si>
  <si>
    <t xml:space="preserve">Un grand nombre d'artisants et d'acteurs de l'industrie extractive formés;
Des revenues externes générés par le centre.
</t>
  </si>
  <si>
    <t xml:space="preserve">Les besoins des partenaires sectoriels en formations de courte durée sont identifiés 
Les formations de courte durée font largement objet de marketing
les recettes générées par la formation
</t>
  </si>
  <si>
    <t>Sous-Action 3d: A-3-4- Formation des formateurs (Formation spécifique ciblée, pédagogie universitaire)</t>
  </si>
  <si>
    <t xml:space="preserve">Les enseignants permanents sont formés.
</t>
  </si>
  <si>
    <t xml:space="preserve">Diplômes
Attestations de formation ;
Institutions de formation.
</t>
  </si>
  <si>
    <t>Sous-Action 3e: A-3-5-Recrutement des étudiants et des doctorants (ILD3)</t>
  </si>
  <si>
    <t>Ordres et rapports des missions</t>
  </si>
  <si>
    <t>Un appel à candidature des étudiants .</t>
  </si>
  <si>
    <t>Selection selon le mérite.</t>
  </si>
  <si>
    <t>Registre d’inscription</t>
  </si>
  <si>
    <t>Sous-Action 3F: A-3-6- Mise en œuvre des formations</t>
  </si>
  <si>
    <t>Les laboratoires sont approvisonnés en consommables</t>
  </si>
  <si>
    <t xml:space="preserve">Des consommables et réactifs des laboratoires acquis </t>
  </si>
  <si>
    <t>Les etudiants ont reçus des formations pratiques.</t>
  </si>
  <si>
    <t>Missions des terrains réalisées</t>
  </si>
  <si>
    <t>Activité 5 :  Stage étudiants</t>
  </si>
  <si>
    <t>Missions vers les partenaires sectoriels, 
formulation des besoins, missions de suivi des etudiants</t>
  </si>
  <si>
    <t>Les étudiants sont placés en stage
les thèmes de mémoire sont connus</t>
  </si>
  <si>
    <t>Fournitures et consommables informatiques acquis </t>
  </si>
  <si>
    <t xml:space="preserve">Sous-Action 3g: A-3-7- Accréditation des programmes </t>
  </si>
  <si>
    <t>Activité 1 : Formations des membres de la CIAQ</t>
  </si>
  <si>
    <t>les membres de la CIAQ sont formés</t>
  </si>
  <si>
    <t xml:space="preserve">Décisions de mise en formation sont signées </t>
  </si>
  <si>
    <t>les programmes sont accrédités</t>
  </si>
  <si>
    <t>Sous-Action 3h: A-3-8- Suivi et aide à l’insertion professionnelle</t>
  </si>
  <si>
    <t xml:space="preserve">Action 4: A-4- Développer la recherche et améliorer sa qualité ILD cible : ILD 5		</t>
  </si>
  <si>
    <t>Sous-Action 4a: A-4-1- Mise en œuvre de la recherche</t>
  </si>
  <si>
    <t>Des stages sont realisés</t>
  </si>
  <si>
    <t>Des sejours industriels sont exécutés</t>
  </si>
  <si>
    <t>Des enseignants sont formés</t>
  </si>
  <si>
    <t>Nombre des formations réalisées</t>
  </si>
  <si>
    <t>Equipes de recherche habiletées;  Des articles de recherche publiés, Des mémoires et des thèses soutenues,</t>
  </si>
  <si>
    <t>Nombre des thèmes élaborés</t>
  </si>
  <si>
    <t>TDR des mobilités</t>
  </si>
  <si>
    <t>Des articles sont publiés</t>
  </si>
  <si>
    <t>Nombre des publications 
publiées</t>
  </si>
  <si>
    <t>Action 5: A-5-Améliorer les infrastructures et les équipements d’enseignement et de recherche (ILD4)\Action du DLI 4</t>
  </si>
  <si>
    <t xml:space="preserve">Sous-Action 5a: A-5-1- Réalisation des nouvelles infrastructures et Réhabilitation du forage </t>
  </si>
  <si>
    <t>Elaboration des TDRs;
Lancement de l'avis à manifestation;
préselection,selection et signature du contrat.</t>
  </si>
  <si>
    <t>CEA_EMI-EMIG</t>
  </si>
  <si>
    <t>Disponibilité des infrastructures</t>
  </si>
  <si>
    <t xml:space="preserve">Le laboratoire environnement est construit et receptionné.
</t>
  </si>
  <si>
    <t>Suivi des activités du l'IDL 4.3</t>
  </si>
  <si>
    <t>Le PGES est mise en œuvre</t>
  </si>
  <si>
    <t>Sous-Action 5b: A-5-2- Acquisition des matériels roulants (IDL4)</t>
  </si>
  <si>
    <t>Sous-Action 5c: A-5-3- Acquisition des équipements pédagogiques et de recherche (ILD4)</t>
  </si>
  <si>
    <t>Le laboratoire est equipé</t>
  </si>
  <si>
    <t>Action 6: A-6- Développer les partenariats et générer des revenus</t>
  </si>
  <si>
    <t>Sous-Action 6a: A-6-1- Développement des partenariats (ILD1)</t>
  </si>
  <si>
    <t>Activité 1: Redynamisation de partenariat, nouvelles conventions de partenariats</t>
  </si>
  <si>
    <t>Redynamisation de partenariat, nouvelles conventions</t>
  </si>
  <si>
    <t>Mise en place du plan d’action en vue  de redynamisation</t>
  </si>
  <si>
    <t>Les conventions de partenariats sont 
redynamisées et suivies</t>
  </si>
  <si>
    <t>Activité 2: Parcipation aux activités des réseaux 
d’échange dédié aux mines (AMEDEE, GEODHE, AUF, CIRUISEF, CAMES)</t>
  </si>
  <si>
    <r>
      <t xml:space="preserve">Participation aux activités des réseaux mines durables </t>
    </r>
    <r>
      <rPr>
        <sz val="9"/>
        <rFont val="Calibri"/>
        <family val="2"/>
        <scheme val="minor"/>
      </rPr>
      <t>(AMEDEE, GEODHE, …)</t>
    </r>
  </si>
  <si>
    <t xml:space="preserve">le centre participe aux activités des reseaux;
les parténariats sont suivies et consolidées
</t>
  </si>
  <si>
    <t>Le Centre est intégré aux réseaux d’échange dédié aux mines (AMEDEE, GEODHE, …)</t>
  </si>
  <si>
    <t>Sous-Action 6b: A-6-2- Collecte des fonds et subventions (ILD5)</t>
  </si>
  <si>
    <t>Activité 1: Formations continues et à la carte</t>
  </si>
  <si>
    <t>Mise à jour du catalogue des formations continues et tirage</t>
  </si>
  <si>
    <t>Catalogue disponible</t>
  </si>
  <si>
    <t>Action 7: A-7- Assurer un fonctionnement de qualité</t>
  </si>
  <si>
    <t>Activité 1: Rémunération du comptable principal.</t>
  </si>
  <si>
    <t>Le comptable assure ses tâches regulières et est payé</t>
  </si>
  <si>
    <t>Comptable récruté</t>
  </si>
  <si>
    <t>Un rapport d'audit est produit</t>
  </si>
  <si>
    <t>Cabinet récruté</t>
  </si>
  <si>
    <t>Activité 3 : Rémunération de l'agent de suivi évaluation</t>
  </si>
  <si>
    <t>Resultats transmis sur la plate forme</t>
  </si>
  <si>
    <t>Activité 4 : Rémunération de l'auditeur /contrôle  interne</t>
  </si>
  <si>
    <t>Rapports d'audit produits</t>
  </si>
  <si>
    <t>Rémuneration</t>
  </si>
  <si>
    <t>Les activités du projet sont coordonnées et les indicateurs sont bien suivis;
Compte rendu fait au Directeur du centre</t>
  </si>
  <si>
    <t>Activité 6: Acquisition des fournitures de bureau</t>
  </si>
  <si>
    <t>Les fournitures sont aquises</t>
  </si>
  <si>
    <t xml:space="preserve">Réception des fournitures de bureau </t>
  </si>
  <si>
    <t>Reçus et factures réglés</t>
  </si>
  <si>
    <t>Action 8: A-8- Audit de la gestion financière</t>
  </si>
  <si>
    <t>Sous-Action 8a: A-8-1- Suivi et contrôle</t>
  </si>
  <si>
    <t>Activité 1: Suivi et contrôle de la gestion  financière (rédaction et soumission des rapports financiers, l'audit des passation des marchés, audit financier)</t>
  </si>
  <si>
    <t>Activité 2: contrôle institutionnel de la gestion financière</t>
  </si>
  <si>
    <t>Sous-Action 8b: A-8-2- Soumission des documents</t>
  </si>
  <si>
    <t>Activité 1: Mise en ligne des documents du centre</t>
  </si>
  <si>
    <t>Activité 2: Soumission des plans de passation des marchés pour approbation</t>
  </si>
  <si>
    <t>Sous-Action 9a: A-9-1- Stratégie régionale de l'école</t>
  </si>
  <si>
    <t>Activité 1:Développement du réseautage</t>
  </si>
  <si>
    <t>Mobilisation des partenaires sectoriels, Pédagogiques et des réseaux des partenaires,
Planification des rencontres régionales</t>
  </si>
  <si>
    <t xml:space="preserve">Le réseautage est developpé
Le service développement  coopération et communication est renforcé ,
</t>
  </si>
  <si>
    <t>Correspondances adressées; ordres de missions; Factures; Coupons de billets</t>
  </si>
  <si>
    <t>Activité 2: Mise en place d'un mécanisme de suivi des jeunes diplômés</t>
  </si>
  <si>
    <t>Données d'insertion des jeunes diplomés disponibles</t>
  </si>
  <si>
    <t>Sous-Action 9b: A-9-2- Accréditation internationale</t>
  </si>
  <si>
    <t>Le centre EM_EMIG est accredité</t>
  </si>
  <si>
    <t>Sous-Action 9c: A-9-3- Participation au benchmarking du PASET</t>
  </si>
  <si>
    <t>Sous-Action 9d: A-9-4- Acquisition des équipements d'un laboratoire 
de Génie Electrique (IDL7.5)</t>
  </si>
  <si>
    <t>Le laboratoire d'electrotechnique est equipé</t>
  </si>
  <si>
    <t>Passation de marché;
Signature de contrat:
livarson et installation
Réception.</t>
  </si>
  <si>
    <t>Le centre est equipé et securisé energetiquement,</t>
  </si>
  <si>
    <t>Total en Dollars</t>
  </si>
  <si>
    <t>TDR des séjours, 
Organisation des séjours pour 3 enseignants en prelude à l'ouverture de nouveau laboratoire</t>
  </si>
  <si>
    <t>TDR des séjours
Organisation bains industriels pour 2 enseignants pendant 1 mois</t>
  </si>
  <si>
    <t xml:space="preserve">TDR des formations
Mise en œuvre  des formations au benefice de 5 doctorants+ 5 enseignants  </t>
  </si>
  <si>
    <t>Identification des thématiques de recherche,  planning des travaux de recherches, conduites des activites de recherche pour les 5 doctorants recrutés</t>
  </si>
  <si>
    <t xml:space="preserve">Identification des laboratoires d'accueil, invitation des universités, accord avec le réseau des partenaires pour le 54 etudiants en Master et 5 en doctorat
</t>
  </si>
  <si>
    <t>Travaux de recherche dans différents laboratoire, identification des revues scorpus, Redaction des articles, publications pour les enseignants et les doctorants</t>
  </si>
  <si>
    <t>PTBA DU 1er JANVIER AU 31 DECEMBRE 2024</t>
  </si>
  <si>
    <t>1.une (1) formation en assurance qualité: 12 membres de la Cellule Assurance Qualité seront formés (frais formateur+pause café+pause dejeuner soit 10 000$).</t>
  </si>
  <si>
    <t>2024 Y5Q1</t>
  </si>
  <si>
    <t>2024 Y5Q2</t>
  </si>
  <si>
    <t>2024 Y5Q3</t>
  </si>
  <si>
    <t>2024 Y5Q4</t>
  </si>
  <si>
    <t xml:space="preserve">Les membres de l’équipe.
et ceux de la cellule qualité principale  sont  formés </t>
  </si>
  <si>
    <t>Préparation et convocation des 
réunions;
adequation formation/profil emploi vérifiée
Agenda et contenu des formations courtes durées actualisés.</t>
  </si>
  <si>
    <t>Activité 1: Réunions du Comité Consultatif Sectoriel</t>
  </si>
  <si>
    <t>Activité 2: Réunions du Comité Consultatif Scientifique International</t>
  </si>
  <si>
    <t>Activité 3: Réunion périodique du Comité d’attribution de bourses</t>
  </si>
  <si>
    <t>Préparation et convocation des 
réunions;
Revue  des programmes realisée.</t>
  </si>
  <si>
    <t xml:space="preserve">Mise à jour de la politique de la bourse;
Sélection des candidats et octroi des bourses d'excellence;
Recrutement des etudiants.
</t>
  </si>
  <si>
    <t>Campagne de publicité, bulletin d'information, prospectus, film institutionnel, publi reportage, site web renové, mission de remise de diplômes couplée à la promotion de l'écôle et du Centre.</t>
  </si>
  <si>
    <t>Supports publicitaire 
Film documentaire
Publi reportage
Rapport de mission</t>
  </si>
  <si>
    <t>Documents de passation des marchés; 
Factures; 
Reçus; ordre de mission.</t>
  </si>
  <si>
    <t>Honoraires de prestation de service</t>
  </si>
  <si>
    <t>Dates de mise à jour, production des supports de publicité.</t>
  </si>
  <si>
    <t>Activité 1: Abonnement Internet et bibliothèques numériques</t>
  </si>
  <si>
    <t>Abonnement  2024
Abonnement aux revues</t>
  </si>
  <si>
    <t>Assurer des formations de renforcement des capacités des artisants mineurs;
Assurer des formations de renforcement des capacité des acteurs des entreprises minières.</t>
  </si>
  <si>
    <r>
      <t>Activité 1: Mise en œuvre des</t>
    </r>
    <r>
      <rPr>
        <sz val="12"/>
        <color rgb="FF000000"/>
        <rFont val="Times New Roman"/>
        <family val="1"/>
      </rPr>
      <t xml:space="preserve"> formations de courtes durées
</t>
    </r>
  </si>
  <si>
    <t>Activité 1: Perfectionnement des enseignants permanents à travers des formations spécifiques incluant la formation pédagogique</t>
  </si>
  <si>
    <t xml:space="preserve"> Une  formation de 28 Enseignants (prise en charge du formateur, pause café et pause dejeuner pendant 5 jours).
</t>
  </si>
  <si>
    <t>5 missions de sensibilisations au niveau national et regional.</t>
  </si>
  <si>
    <t>Listes de présence et procès verbaux.</t>
  </si>
  <si>
    <t>Mise en ligne de l'appel
Diffusion sur les médias.</t>
  </si>
  <si>
    <t>Les etudiants nationaux et régionaux sont sensibilisés; 
Les partenaires pédagogiques regionaux sont mobilisés.</t>
  </si>
  <si>
    <t xml:space="preserve">120 licences et 100 masters reçoivent les appuis de subsistance
</t>
  </si>
  <si>
    <t>Recrutement de 3 doctorants (frais de laboratoire, atelier, seminaires, mission de collecte de données)</t>
  </si>
  <si>
    <t>Identification et expression des besoins
de vacation
Décision de recrutement
 Nombre total d'heures: 4000h soit 80 000$, deduction charge enseignants permanents 30 000$</t>
  </si>
  <si>
    <t>Activité 1 : Recrutement des vacataires locaux</t>
  </si>
  <si>
    <t xml:space="preserve">Des vacataires locaux sont recrutés 
Décisions de vacation sont signées </t>
  </si>
  <si>
    <t>Activité 4: Ecoles des terrains</t>
  </si>
  <si>
    <t xml:space="preserve">25 Vacataires locaux recrutés
</t>
  </si>
  <si>
    <t xml:space="preserve">2 Vacataires régionaux et ou internationaux sont recrutés
</t>
  </si>
  <si>
    <t xml:space="preserve">Des vacataires régionaux et ou internationaux sont recrutés 
Décisions de vacation sont signées </t>
  </si>
  <si>
    <t>Identification et expression des besoins
de vacation
Convention de mobilité
Nombre total d'heures: 120h soit 17 000$.</t>
  </si>
  <si>
    <t>Expression des besoins 
demande d'achat
Bon de commande
reception</t>
  </si>
  <si>
    <t>Deux missions de  terrain vers le sites miniers(1200 km de Niamey),  perdiems de 60 etudiants+ 2 encadreurs+ location bus+ Carburants</t>
  </si>
  <si>
    <t>Activité 8 : Fournitures pédagogiques</t>
  </si>
  <si>
    <t>Activité 7 : Fournitures et consommables informatiques</t>
  </si>
  <si>
    <t>Fournitures et consommables informatiques acquis,</t>
  </si>
  <si>
    <t>Acquisition des matériels pédagogiques</t>
  </si>
  <si>
    <t>Matériels pédagogiques acquis</t>
  </si>
  <si>
    <t>12 membres de la cellule Qualité sur les normes ISO9001 et CEI17025 en une séance de formation+ frais formateur local.</t>
  </si>
  <si>
    <t>Activité 2 : Amélioration continue de la qualité de la formation</t>
  </si>
  <si>
    <t xml:space="preserve">Révision des programmes ; 
</t>
  </si>
  <si>
    <t>Activité 3: Amélioration continue de la recherche</t>
  </si>
  <si>
    <t>Développer une stratégie de recherche avec les parténariats pédagogiques régionaux.</t>
  </si>
  <si>
    <t>Le programme master en gestion et restauration des sites miniers a été révisé.</t>
  </si>
  <si>
    <t>Mise en place d'un comité de révision des programmes licence et master mine;
Atélier de validation des deux programmes révisés.</t>
  </si>
  <si>
    <t>Un programme complèmentaire est élaboré, 
Des missions ont été réalisées; 
Des parténariats pédagogiques de recherche créés.</t>
  </si>
  <si>
    <t>Elaboration et validation d'un programme complèmentaire pour la formation doctorale;
Mission de mobilisation des partenaires pédagogiques régionaux et du maghreb.</t>
  </si>
  <si>
    <t>Activité 4: Accréditations des programmes CEA au près du CAMES</t>
  </si>
  <si>
    <t>Accréditation CAMES des programmes LMD en environnement minier.</t>
  </si>
  <si>
    <t xml:space="preserve">les programmes de Licence et Master mines sont accrédités par le CAMES.
</t>
  </si>
  <si>
    <t>Ordre des missions signéés</t>
  </si>
  <si>
    <t>Nombre des mobilités réalisées</t>
  </si>
  <si>
    <t>Activité 1: Contrôle et suivi des travaux de construction du laboratoire environnement,</t>
  </si>
  <si>
    <t>Contrôle et suivi des travaux.</t>
  </si>
  <si>
    <t>Rapports de suivi périodique.</t>
  </si>
  <si>
    <t>Disponibilité des rapports de suivi</t>
  </si>
  <si>
    <t>Activité 2: Poursuite des travaux de construction du laboratoire environnement</t>
  </si>
  <si>
    <t>Suite des travaux</t>
  </si>
  <si>
    <t>bons de carburant
Recus de consommation</t>
  </si>
  <si>
    <t>Activité 1: fonctionnement, maintenance et entretien  du materiel roulant</t>
  </si>
  <si>
    <t>Demande d'achat,
Bon de commande,
Signature de contrat,
Etablissement des cartes</t>
  </si>
  <si>
    <t xml:space="preserve">Passation de marché;
Signature de contrat:
livraison et installation
Réception.
</t>
  </si>
  <si>
    <t>Activité 1: Acquisition et installation des équipements pédagogiques et de recherche (équipements lourds de laboratoire)</t>
  </si>
  <si>
    <t>Réalisation des formations à la carte pour la SOMAIR, SOMIDA, ANEEMAS, SML, réseau mine et les ministères</t>
  </si>
  <si>
    <t>Présentation facture, Virement bancaire</t>
  </si>
  <si>
    <t>Activité 7: Dépenses de fonctionnement du Centre</t>
  </si>
  <si>
    <t>Expression des besoins
Demande d'achat 
Bon de commande
Livraison et reception</t>
  </si>
  <si>
    <t>Conception  de mécanisme de suivi, creation des bases de données, suivi des etudiants</t>
  </si>
  <si>
    <t>Veuille normative, connaissance du référentiel de la HCRES, Elaboration des procédures, réunions visioconference avec HCRES, Accueil experts HCRES
Auto-évaluation pour accréditation institutionnelle.</t>
  </si>
  <si>
    <t>Activité 1: Auto-évaluation, amélioration continue, accréditation institutionnelle.</t>
  </si>
  <si>
    <t xml:space="preserve">Les agents formés à la collecte et à la gestion des données. </t>
  </si>
  <si>
    <t>Attestation de formation</t>
  </si>
  <si>
    <t>Système de donnée disponible</t>
  </si>
  <si>
    <t>Activité 2: Collecte, analyse des données et compilation</t>
  </si>
  <si>
    <t>Organisation d'atélier de formation à la collecte et à l'analyse des données.</t>
  </si>
  <si>
    <t>Enquête envue de la collecte des données au niveau des différents services et départements de l'EMIG.</t>
  </si>
  <si>
    <t>Base de donnée constituée</t>
  </si>
  <si>
    <t>Atélier de restitution, manuel de procédures et suivi des diplômés.</t>
  </si>
  <si>
    <t>Rapport d'atélier</t>
  </si>
  <si>
    <t>Base de donnée des diplômés constituée</t>
  </si>
  <si>
    <t>Vehicules bien entretenus;
missions et sorties de terrain effectuées</t>
  </si>
  <si>
    <t>Somme en dollars</t>
  </si>
  <si>
    <t>Formation de l'équipe fiduciaire</t>
  </si>
  <si>
    <t xml:space="preserve">Encadrement de 100 étudiants
Formation des Jury de soutenance </t>
  </si>
  <si>
    <t>Soutenances de 100 mémoires</t>
  </si>
  <si>
    <t>Appel d'offre</t>
  </si>
  <si>
    <t>La sécurité à l'EMIG est améliorée</t>
  </si>
  <si>
    <t>EMIG</t>
  </si>
  <si>
    <t>$4900350</t>
  </si>
  <si>
    <t>RLD</t>
  </si>
  <si>
    <t>Cible</t>
  </si>
  <si>
    <t>Allocation ILD</t>
  </si>
  <si>
    <t>Décaissements Effectués</t>
  </si>
  <si>
    <t>Décaissements Attendus en 2024</t>
  </si>
  <si>
    <t>Total</t>
  </si>
  <si>
    <t>Taux</t>
  </si>
  <si>
    <t xml:space="preserve">Validés en attente de versement </t>
  </si>
  <si>
    <t>Transmis en attente de validation</t>
  </si>
  <si>
    <t>Résultats obtenus en attente de transmission</t>
  </si>
  <si>
    <t>Résultats attendus en 2024</t>
  </si>
  <si>
    <t>Total attendu en 2024</t>
  </si>
  <si>
    <t>ILD1 Préparation opérationnelle</t>
  </si>
  <si>
    <t>ILD2 Impact sur le développement</t>
  </si>
  <si>
    <t>3.1 Doctorants</t>
  </si>
  <si>
    <t>3.2 Étudiants en master</t>
  </si>
  <si>
    <t>3.3 Etudiants en formation courte durée</t>
  </si>
  <si>
    <t>3.4 Étudiants premier cycle</t>
  </si>
  <si>
    <t>ILD 3 : Quantité d’étudiants</t>
  </si>
  <si>
    <t>4.1 Étapes d'accréditation</t>
  </si>
  <si>
    <t>4.2 Articles de recherche publiés</t>
  </si>
  <si>
    <t>4.3 Jalon des infrastructures d'enseignement et de recherche</t>
  </si>
  <si>
    <t>ILD 4 Qualité Enseignement et recherche</t>
  </si>
  <si>
    <t>5.1 Revenus</t>
  </si>
  <si>
    <t>5.2 Nombre d'étudiants en stages</t>
  </si>
  <si>
    <t>ILD5: Pertinence de l'enseignement</t>
  </si>
  <si>
    <t>6.1 Rapports financiers réguliers</t>
  </si>
  <si>
    <t xml:space="preserve">6.2 Contrôles institutionnels de la gestion financière </t>
  </si>
  <si>
    <t>6.3 Transparence en ligne</t>
  </si>
  <si>
    <t xml:space="preserve">6.4 Qualité de la planification de la passation </t>
  </si>
  <si>
    <t>ILD6 gestion Financière</t>
  </si>
  <si>
    <t>7.1 Stratégie régionale de l'université</t>
  </si>
  <si>
    <t>7.3 Accréditation institutionnelle</t>
  </si>
  <si>
    <t>7.4 Participation au benchmarking du PASET</t>
  </si>
  <si>
    <t>7.5 Jalon sur l’impact institutionnel</t>
  </si>
  <si>
    <t>ILD7 Impact Instittionnel</t>
  </si>
  <si>
    <t xml:space="preserve"> </t>
  </si>
  <si>
    <t>Centre Emergent Mines - Niger</t>
  </si>
  <si>
    <t>Nombre</t>
  </si>
  <si>
    <t>Budget</t>
  </si>
  <si>
    <t xml:space="preserve"> $4,5 million</t>
  </si>
  <si>
    <t>ILD #</t>
  </si>
  <si>
    <t>Base</t>
  </si>
  <si>
    <t>Allocation RLD</t>
  </si>
  <si>
    <t>Protocole de vérification</t>
  </si>
  <si>
    <t>Formule</t>
  </si>
  <si>
    <t>Année</t>
  </si>
  <si>
    <t>ILD 1 : Préparation institutionnelle</t>
  </si>
  <si>
    <r>
      <t xml:space="preserve">Deux résultats : 
(i) </t>
    </r>
    <r>
      <rPr>
        <b/>
        <sz val="8"/>
        <color indexed="8"/>
        <rFont val="Times New Roman"/>
        <family val="1"/>
      </rPr>
      <t xml:space="preserve">Préparation de base </t>
    </r>
    <r>
      <rPr>
        <sz val="8"/>
        <color indexed="8"/>
        <rFont val="Times New Roman"/>
        <family val="1"/>
      </rPr>
      <t xml:space="preserve">: Accord de financement en vigueur ; l’URF a approuvé le plan de mise en œuvre et les manuels de passation des marchés et de gestion financière du centre. Nomination officielle des membres de l’équipe principale (coordonnateur de centre, coordonnateur adjoint de centre, responsable de gestion financière, responsable passation des marchés, responsable suivi et évaluation et de relation sectorielle). Le Centre doit également désigner un représentant des étudiants au sein de l’URF ne faisant pas partie du personnel du centre, et
 (ii) </t>
    </r>
    <r>
      <rPr>
        <b/>
        <sz val="8"/>
        <color indexed="8"/>
        <rFont val="Times New Roman"/>
        <family val="1"/>
      </rPr>
      <t>Préparation totale :</t>
    </r>
    <r>
      <rPr>
        <sz val="8"/>
        <color indexed="8"/>
        <rFont val="Times New Roman"/>
        <family val="1"/>
      </rPr>
      <t xml:space="preserve"> Au moins un membre de la direction du centre doit être titulaire d’un certificat en gestion de projet ; Site Web du centre opérationnel (lien du site du centre disponible) ; Guide de l'étudiant sur le site avec un règlement sur le harcèlement sexuel et les bourses, ainsi que la création d’un Conseil Consultatif Sectoriel (CCS) ayant approuvé le plan de mise en œuvre </t>
    </r>
  </si>
  <si>
    <t>300 000 USD par jalon. Pas proportionnel au sein de chaque jalon.</t>
  </si>
  <si>
    <t xml:space="preserve">ILD 2 :
Impact du Centre CEA sur le développement </t>
  </si>
  <si>
    <t>Évaluation indépendante externe de l'impact sur le développement du centre CEA réalisée au cours de la troisième année et de la fin de la quatrième année. Des évaluateurs externes examineront et noteront l'impact sur le développement du centre. Le score de la 3ème année sera basé sur les progrès réalisés vers l'impact sur le développement et celui de la 4ème année sera basé sur l’impact sur le développement. Les critères d'évaluation comprendront : (i) la pertinence et l'impact des diplômés sur la société, y compris la proportion de diplômés embauchés dans le secteur ciblé et le retour des principaux employeurs ; (ii) la pertinence et l’impact de la recherche sur la société ; (iii) les progrès au niveau des ILD; (iv) les rapports annuels du CCS; et (v) des entretiens avec les diplômés des centres et les acteurs du secteur. Les barèmes d'évaluation détaillés seront définis dans le manuel d’opération régional.</t>
  </si>
  <si>
    <t>Proportionnel selon le score du centre sur une échelle (1 à 5). 25 000 USD par point du score.</t>
  </si>
  <si>
    <t>2.1 Progrès vers l'impact sur le développement</t>
  </si>
  <si>
    <t>2.2 Impact sur le développement</t>
  </si>
  <si>
    <t xml:space="preserve">ILD 3 : Quantité d’étudiants </t>
  </si>
  <si>
    <r>
      <rPr>
        <b/>
        <sz val="8"/>
        <color indexed="8"/>
        <rFont val="Times New Roman"/>
        <family val="1"/>
      </rPr>
      <t>Nombre de nouveaux étudiants en doctorat et master éligibles, et d’étudiants en formation professionnelle de courte durée</t>
    </r>
    <r>
      <rPr>
        <sz val="8"/>
        <color indexed="8"/>
        <rFont val="Times New Roman"/>
        <family val="1"/>
      </rPr>
      <t>, avec au moins 30% d’étudiants régionaux. Pour les établissements bénéficiant de l’appui aux institutions d’ingénierie et les centres émergents, les étudiants de premier cycle dans des cours CEA Impact sont également éligibles. Le manuel d’opérations régional et le plan de mise en œuvre approuvé définiront les critères d’un étudiant éligible pour chaque CEA.</t>
    </r>
  </si>
  <si>
    <t>Mesurer par étudiant. Le nombre d’étudiants par type est à titre indicatif dans ce tableau pour préparation. A moins qu’il n’en soit convenu autrement dans le manuel d’opération régional, le centre peut réaliser ces ILD sous n'importe quelle combinaison de types d'étudiants (à l'exception des 30% d’étudiants régionaux).
Pour les doctorants : 10 000 USD par étudiant national, 12 500 USD par étudiante nationale, 12 500 par étudiant national, et 15 600 par étudiante regionale. 
Pour les étudiants en Master : 2 000 par étudiant national, 2 500 par étudiante, 4 000 par étudiant régional et 5 000 par étudiante régionale. 
Pour les étudiants en formation professionnelle de courte durée: 400 par étudiant national, 500 par étudiante nationale, 800 par étudiant régional et 1 000 par étudiante régionale.
Pour les étudiants en premier cycle: 1 000 par étudiant national, 1 500 par étudiante nationale</t>
  </si>
  <si>
    <t>3.3 Étudiants en formation professionnelle de courte durée</t>
  </si>
  <si>
    <t>3.4 Étudiants de premier cycle</t>
  </si>
  <si>
    <t xml:space="preserve">ILD 4 : 
Qualité de l’enseignement et de la recherche  </t>
  </si>
  <si>
    <r>
      <t xml:space="preserve">Il y a trois résultats :
(i) </t>
    </r>
    <r>
      <rPr>
        <b/>
        <sz val="8"/>
        <color indexed="8"/>
        <rFont val="Times New Roman"/>
        <family val="1"/>
      </rPr>
      <t>Accréditation internationale</t>
    </r>
    <r>
      <rPr>
        <sz val="8"/>
        <color indexed="8"/>
        <rFont val="Times New Roman"/>
        <family val="1"/>
      </rPr>
      <t xml:space="preserve">. Le décaissement a lieu lorsqu'une étape d'accréditation ou d'évaluation a été vérifiée par la soumission du rapport d'accréditation / d'évaluation et/ou de certificat à l'URF ;
(ii) </t>
    </r>
    <r>
      <rPr>
        <b/>
        <sz val="8"/>
        <color indexed="8"/>
        <rFont val="Times New Roman"/>
        <family val="1"/>
      </rPr>
      <t>Articles de recherche pertinents</t>
    </r>
    <r>
      <rPr>
        <sz val="8"/>
        <color indexed="8"/>
        <rFont val="Times New Roman"/>
        <family val="1"/>
      </rPr>
      <t xml:space="preserve"> pour le CEA sont publiés dans des revues à comité de lecture internationalement reconnues. La vérification s'effectue au moyen de bases de données bibliométriques internationales. 
(iii) </t>
    </r>
    <r>
      <rPr>
        <b/>
        <sz val="8"/>
        <color indexed="8"/>
        <rFont val="Times New Roman"/>
        <family val="1"/>
      </rPr>
      <t>Réalisation des jalons pour l'amélioration des infrastructures</t>
    </r>
    <r>
      <rPr>
        <sz val="8"/>
        <color indexed="8"/>
        <rFont val="Times New Roman"/>
        <family val="1"/>
      </rPr>
      <t xml:space="preserve"> d'enseignement et de recherche spécifiée dans le plan de mise en œuvre approuvé de chaque centre. Ce résultat sera, dans la majorité des cas, vérifié par une évaluation sur site des installations et de la mise en service des travaux de génie civil et de l’amélioration d'équipements.</t>
    </r>
  </si>
  <si>
    <t>Pour l'accréditation : Pas proportionnel au sein de chaque étape d'accréditation. Montant par étape : 300 000 USD par programme internationalement accrédité par un organisme d'accréditation préapprouvé ; 100 000 USD par programme accrédité aux niveaux national et régional ; 100 000 USD par évaluation des lacunes / auto-évaluation réalisées ; 50 000 USD par cours réorganisé/nouveaux conformes aux normes internationales et approuvés par le conseil consultatif sectoriel.
Pour les publications de recherche : Mesurer par article. Montants : 10 000 USD par article co-rédigé par un étudiant/enseignant du CEA Impact et des partenaires nationaux ; 15 000 USD par article rédigé en collaboration avec des partenaires régionaux. 
Pour les infrastructures d'enseignement et de recherche, le résultat n'est pas proportionnel au sein d’un jalon. 300 000 USD par jalon.</t>
  </si>
  <si>
    <t xml:space="preserve">ILD 5 :
Pertinence de l’enseignement et de la recherche </t>
  </si>
  <si>
    <r>
      <t xml:space="preserve">Trois résultats peuvent être atteints : 
(i) </t>
    </r>
    <r>
      <rPr>
        <b/>
        <sz val="8"/>
        <color indexed="8"/>
        <rFont val="Times New Roman"/>
        <family val="1"/>
      </rPr>
      <t>Revenus externes générés</t>
    </r>
    <r>
      <rPr>
        <sz val="8"/>
        <color indexed="8"/>
        <rFont val="Times New Roman"/>
        <family val="1"/>
      </rPr>
      <t xml:space="preserve">, tels que les frais de scolarité et autres frais d’étudiant, les consultances en recherche, les collectes de fonds et les subventions concurrentielles obtenues par le Centre. Le financement doit être versé sur un compte contrôler par la direction du centre pour les dépenses. Cela devra être vérifié par des auditeurs financiers.
(ii) </t>
    </r>
    <r>
      <rPr>
        <b/>
        <sz val="8"/>
        <color indexed="8"/>
        <rFont val="Times New Roman"/>
        <family val="1"/>
      </rPr>
      <t xml:space="preserve">Nombre d'étudiants et d'enseignants </t>
    </r>
    <r>
      <rPr>
        <sz val="8"/>
        <color indexed="8"/>
        <rFont val="Times New Roman"/>
        <family val="1"/>
      </rPr>
      <t xml:space="preserve">ayant effectué un stage d'au moins un mois dans des institutions pertinentes du secteur. Le vérificateur valide la liste des étudiants/professeurs ayant participé à des stages/activités de formation d'au moins un mois dans des institutions pertinentes du secteur, et
(iii) </t>
    </r>
    <r>
      <rPr>
        <b/>
        <sz val="8"/>
        <color indexed="8"/>
        <rFont val="Times New Roman"/>
        <family val="1"/>
      </rPr>
      <t>Atteindre le jalon pour le développement de l’entreprenariat,</t>
    </r>
    <r>
      <rPr>
        <sz val="8"/>
        <color indexed="8"/>
        <rFont val="Times New Roman"/>
        <family val="1"/>
      </rPr>
      <t xml:space="preserve"> de l’innovation, d’entreprises start-ups et des programmes d’aide à la commercialisation. Chaque plan de mise en œuvre des centres approuvé contiendra une étape clé en termes de résultats et d’activités visant à développer l’esprit d’entreprise des étudiants et des professeurs.</t>
    </r>
  </si>
  <si>
    <t>Pour les revenus externes, 1 USD pour chaque 1 USD généré par des sources nationales (pas privées) ou internationales ; 2 USD pour chaque 1 USD provenant de sources régionales ou privées ;
Pour les stages, 1 000 USD par période dans le pays et  1 500 USD par période dans la région
100 000 USD pour le jalon sur l’esprit d’entreprise. Pas proportionnel.</t>
  </si>
  <si>
    <t>5.2 Stages</t>
  </si>
  <si>
    <t>5.3 Jalons de l'entreprenariat</t>
  </si>
  <si>
    <t>ILD 6 : Gestion financière régulière et de qualité</t>
  </si>
  <si>
    <r>
      <rPr>
        <b/>
        <sz val="8"/>
        <color indexed="8"/>
        <rFont val="Times New Roman"/>
        <family val="1"/>
      </rPr>
      <t xml:space="preserve">Les rapports financiers réguliers </t>
    </r>
    <r>
      <rPr>
        <sz val="8"/>
        <color indexed="8"/>
        <rFont val="Times New Roman"/>
        <family val="1"/>
      </rPr>
      <t xml:space="preserve">comprennent les soumissions dans les délais des rapports de suivi financiers, les audits financiers et de passation des marchés du centre ; La ponctualité implique le respect des délais fixés dans l’accord de financement. L’audit de passation des marchés de l’année est dû en même temps que l’audit financier.
</t>
    </r>
    <r>
      <rPr>
        <b/>
        <sz val="8"/>
        <color indexed="8"/>
        <rFont val="Times New Roman"/>
        <family val="1"/>
      </rPr>
      <t>Contrôle institutionnel de la gestion financière</t>
    </r>
    <r>
      <rPr>
        <sz val="8"/>
        <color indexed="8"/>
        <rFont val="Times New Roman"/>
        <family val="1"/>
      </rPr>
      <t xml:space="preserve">. Unité d’audit interne et comité d’audit opérationnels (sous le conseil d’administration de l’université) ;
</t>
    </r>
    <r>
      <rPr>
        <b/>
        <sz val="8"/>
        <color indexed="8"/>
        <rFont val="Times New Roman"/>
        <family val="1"/>
      </rPr>
      <t>Transparence en ligne des dépenses du CEA</t>
    </r>
    <r>
      <rPr>
        <sz val="8"/>
        <color indexed="8"/>
        <rFont val="Times New Roman"/>
        <family val="1"/>
      </rPr>
      <t xml:space="preserve">, notamment le budget approuvé, le plan de travail annuel, les RSF avec une annexe sur les dépenses détaillées, les rapports d’audit financiers et de passation des marchés du projet sont accessibles sur les sites Web du centre.
</t>
    </r>
    <r>
      <rPr>
        <b/>
        <sz val="8"/>
        <color indexed="8"/>
        <rFont val="Times New Roman"/>
        <family val="1"/>
      </rPr>
      <t>Qualité de la planification de la passation des marchés</t>
    </r>
    <r>
      <rPr>
        <sz val="8"/>
        <color indexed="8"/>
        <rFont val="Times New Roman"/>
        <family val="1"/>
      </rPr>
      <t>. La proportion du plan de passation de marchés initialement approuvé ayant été exécutée. Cette proportion est calculée en termes de valeur des contrats (et non des activités de passation de marchés).</t>
    </r>
  </si>
  <si>
    <t>Proportionnel au sein de chaque résultat. Par exemple, un décaissement pourrait être effectué pour les rapports qui auront été soumis dans les délais, même si d’autres rapports auront été soumis en retard.
15 000 USD pour des rapports financiers réguliers
15 000 USD pour le contrôle institutionnel de la gestion financière
15 000 USD pour la transparence en ligne sur les dépenses du CEA
15 000 USD pour la qualité de la planification de la passation des marchés</t>
  </si>
  <si>
    <t>ILD 7 :
Impact institutionnel</t>
  </si>
  <si>
    <t>Institution hôte CEA Impact :
(i) approuve une stratégie régionale pertinente au niveau de l'université.
(ii) procède à une sélection concurrentielle ouverte et basée sur le mérite du président de l'université et/ou des directeurs de département en rapport avec le CEA. 
(iii) entreprend une accréditation internationale au niveau institutionnel ou une auto-évaluation basée sur une méthodologie établie.
(iv) participe à l'initiative de Benchmarking régionale PASET et soumet des données sur des indicateurs requis avec un plan d'intervention pour améliorer les performances. L'agence d'accréditation et la méthodologie utilisées doivent être acceptables par la Banque mondiale et l'URF.
(v) Atteindre les étapes clés pour promouvoir l'impact institutionnel. Chaque plan de mise en œuvre du centre approuvé contient un ou plusieurs jalons pour des résultats et des activités visant à améliorer l'impact institutionnel.</t>
  </si>
  <si>
    <t>Pas proportionnel. 
Stratégie régionale de l'université : 
100 000 USD
Sélection concurrentielle ouverte et basée sur le mérite du président de l'institution : 200 000 USD et 50 000 USD pour une sélection concurrentielle ouverte et basée sur le mérite d'un doyen ;
200 000 USD pour une accréditation internationale ; évaluation des lacunes et l'auto-évaluation 75 000 USD chacune.
USD 50 000 pour chaque année ou l'université participe (jusqu'à deux ans)
USD 200 000 par jalon sur l’impact institutionnel</t>
  </si>
  <si>
    <t>7.2 Sélection compétitive</t>
  </si>
  <si>
    <t>Financement renouvelé total</t>
  </si>
  <si>
    <t>Expression des besoins, bon d'achat,lettre d'invitati onAchat des produits pharmaceutiques</t>
  </si>
  <si>
    <t xml:space="preserve">Expression des besoins 
demande d'achat, lettre d'invitation
comparaison des factures
Bon de commande
</t>
  </si>
  <si>
    <t>Activité 2: Recrutement et Rémunération du cabinet d’audit externe.</t>
  </si>
  <si>
    <t>Activité 5: Rénumeration d'un Chef de Projet</t>
  </si>
  <si>
    <t>Activité 1: Missions de sensibilisation</t>
  </si>
  <si>
    <t>Activité 2 : Lancement de l’appel à candidature</t>
  </si>
  <si>
    <t xml:space="preserve">Activité 3: Recrutement de nouveaux étudiants </t>
  </si>
  <si>
    <t>Activité 4: Recrutement des doctorants</t>
  </si>
  <si>
    <t>Sous-Action 7a :  A-7-1- Recrutement et Rémuneration des agents d’appui au centre et d’un cabinet d’audit externe</t>
  </si>
  <si>
    <t>Budget Estimé</t>
  </si>
  <si>
    <t>Recette estimé</t>
  </si>
  <si>
    <t>Recette disponible dans le compte dedié</t>
  </si>
  <si>
    <t>Activité 3 : Mise en œuvre du PGES</t>
  </si>
  <si>
    <t>le seminaire est organisé et activité de sensibilisation des étudiants, personnel, enseignants, manœuvres</t>
  </si>
  <si>
    <t>Activité 6: Participation des membres de l’équipe à au moins deux ateliers CEA régionaux</t>
  </si>
  <si>
    <t>Activité 4 : Stage labo (séjour de perfection des formateurs dans des laboratoires spécialisés)</t>
  </si>
  <si>
    <t>Activité 5 : Bains industriels (sejours de perfection des formateurs dans des industries du secteur)</t>
  </si>
  <si>
    <t>Activité 6 : Formation des enseignants et des doctorant aux méthodologies de la recherche</t>
  </si>
  <si>
    <t>Activité 7 : Mise en œuvre de la Recherche</t>
  </si>
  <si>
    <t>Activité 8 : Mobilité: renforcement des capacités, recherche et innovation,</t>
  </si>
  <si>
    <t xml:space="preserve">Activité 9 : Publications </t>
  </si>
  <si>
    <t>Planning des travaux de recherches, conduites des activites de recherche</t>
  </si>
  <si>
    <t>Equipes de recherche habiletées</t>
  </si>
  <si>
    <t>Activité 2 : Achat produit pharmaceutique</t>
  </si>
  <si>
    <t>Activité 2 : Formation Ouverte à Distance (FOAD) : Formation et Développement du Contenu</t>
  </si>
  <si>
    <t>Activité 3 : Formation Ouverte à Distance (FOAD) : Formation du Personnel</t>
  </si>
  <si>
    <t>Activité 4 : Formation Ouverte à Distance (FOAD) : Acquisition ou l'abonnement à une plateforme de FOAD.</t>
  </si>
  <si>
    <t xml:space="preserve"> Activité 6 : Formation Ouverte à Distance (FOAD) : Production de matériel de sensibilisation pour informer les étudiants sur le programme de FOAD</t>
  </si>
  <si>
    <t>Salaire pour une équipe de 2 personnes impliquées dans la conception et le développement du contenu des cours, à temps plein</t>
  </si>
  <si>
    <t>sessions de formation du personnel enseignant et administratif.</t>
  </si>
  <si>
    <t>TDR pour consultation des fournisseur</t>
  </si>
  <si>
    <t>le contenu de la formation est developpé</t>
  </si>
  <si>
    <t>le personnel est formé</t>
  </si>
  <si>
    <t>les ordinanteurs sont mis à niveau</t>
  </si>
  <si>
    <t xml:space="preserve">les étudiants sont sensibilisés </t>
  </si>
  <si>
    <t>le support de formation est disponible</t>
  </si>
  <si>
    <t>le support de formation est distribué</t>
  </si>
  <si>
    <t>l'abonnement à la plateforme est fait</t>
  </si>
  <si>
    <t>les factures sont disponible</t>
  </si>
  <si>
    <t>facture de prestation est disponible</t>
  </si>
  <si>
    <t>les support de sensibilisation sont publiés</t>
  </si>
  <si>
    <t>Activité 1 : Recherche Appliquée : Amelioration des procedés de transformation des produits alimentaires avec le rouleau agglomérateur</t>
  </si>
  <si>
    <t xml:space="preserve">Activité 2 : Recherche Appliquée : Amelioration des équipements et procedés de traiement des minerais </t>
  </si>
  <si>
    <t>Activité 4 : Seminaire sur la violence basée sur le genre et lutte contre harcelment sexuel</t>
  </si>
  <si>
    <t>le fonctionnement du centre est assuré</t>
  </si>
  <si>
    <t>Activité 8 : Carburant et crédit de communication pour les membres de l'équipe de gestion du Centre</t>
  </si>
  <si>
    <t>le carburant et crédit de communication sont assurés</t>
  </si>
  <si>
    <t xml:space="preserve">Virement </t>
  </si>
  <si>
    <t>Sous-Action 9d: A-9-5- Mise en place d'un système d'alimentation solaire (IDL7.5)</t>
  </si>
  <si>
    <t>le portail principal est construit</t>
  </si>
  <si>
    <t>3.Une formation sur logiciel TOMPRO (5 personnes: Comptable Principal, Auditeur Interne et le Responsable Passation des marchés, comptable interne, Chef projet).</t>
  </si>
  <si>
    <t>Activité 5 : Formation Ouverte à Distance (FOAD) : Séminaire de mise à niveau du personnel gérant le projet.</t>
  </si>
  <si>
    <t>Activité 1: Formation à la collecte et à l'analyse des données / Analyse comparative pour améliorer les systèmes institutionnels de collecte et de gestion des données</t>
  </si>
  <si>
    <t>Activité 3: Organisation atelier de restitution manuel de procédures de gestion de données et atelier de restitution du système de suivi &amp; évaluation des diplômés</t>
  </si>
  <si>
    <t>2.une (1)formation en gestion de projet (10 personnes du comité de gestion du projet avec un montant de 10 000$).</t>
  </si>
  <si>
    <t xml:space="preserve"> doctorants sont recrutés</t>
  </si>
  <si>
    <t>Activité 3: Acquisition des materiels, consommables et réactifs des laboratoires</t>
  </si>
  <si>
    <t>activité 1 : Acquisition des équipements</t>
  </si>
  <si>
    <t>Activité 2 :  Mobilité des enseignants chercheurs régionaux et ou internationaux</t>
  </si>
  <si>
    <t>Activité 6 :  Soutenance des projets et mémoires</t>
  </si>
  <si>
    <t>Activité 1 : Etude pour la mise en place d'un système d'alimentation solaire (bâtiment administratif)</t>
  </si>
  <si>
    <t>recrutement d'un cconsultant qui sera chargé de conduire l'étude</t>
  </si>
  <si>
    <t>Elaboration d'un TDR pour le lancement du processus de recrutement d'un fournisseur</t>
  </si>
  <si>
    <t xml:space="preserve">le centre est equipé en champ solaire </t>
  </si>
  <si>
    <t>l'étude est réalisée et disponible</t>
  </si>
  <si>
    <t>Recrutement d'un consultant chargé de conduire l'étude</t>
  </si>
  <si>
    <t>L'étude est réalisée et disponible</t>
  </si>
  <si>
    <t xml:space="preserve">Disponibilté de l'étude </t>
  </si>
  <si>
    <t>Le mobilier scolaire et de bureau est acquis</t>
  </si>
  <si>
    <t>Disponibilité du mobilier scolaire et de bureau</t>
  </si>
  <si>
    <t>Elaboration d'un TDR, Passation de marché;
Signature du contrat;
Lancement et Exécution  des travaux</t>
  </si>
  <si>
    <t>Lancement</t>
  </si>
  <si>
    <t>Les salles de cours sont équipés en tables bancs fixes</t>
  </si>
  <si>
    <t>les salles équipés sont disponibles pour les cours</t>
  </si>
  <si>
    <t>Activité 2 :Acquisition (achat et installation) du materiel du système d'installation solaire étanchéité des toitures (bâtiment administratif)</t>
  </si>
  <si>
    <t>Activité 10 : Etude pour la mise en place d'un système d'alimentation solaire photovoltaïque (4 bâtiments des départements)</t>
  </si>
  <si>
    <t>Activité 11 : Acquisition et installation d’un système solaire photovoltaïque et étanchéité des toitures (4 bâtiments des départements)</t>
  </si>
  <si>
    <t>les départements sont dotés d'un système solaire photovoltaique</t>
  </si>
  <si>
    <t>les bâtiments des départements sont équipés</t>
  </si>
  <si>
    <t>le circuit électrique de la halle est repris</t>
  </si>
  <si>
    <t>la halle est fonctionnelle</t>
  </si>
  <si>
    <t>Elaboration d'un TDR, Passation de marché.</t>
  </si>
  <si>
    <t>les materiels informatiques sont acquis</t>
  </si>
  <si>
    <t>les materiels informatiques sont disponibles</t>
  </si>
  <si>
    <t>Demande des proformats</t>
  </si>
  <si>
    <t>l'étude de l'installation d'un système de video surveillance est réalisées</t>
  </si>
  <si>
    <t>l'étude est didponible</t>
  </si>
  <si>
    <t>Signature du contrat</t>
  </si>
  <si>
    <t>Activité 12 : Entretien de l'infrastructure solaire pour une période de 5 à 10 ans</t>
  </si>
  <si>
    <t>l'équipement solaire est entretenu</t>
  </si>
  <si>
    <t>le contrat d'entretien est disponible</t>
  </si>
  <si>
    <t>Activité 13: Acquisition de mobilier scolaire et de Bureau</t>
  </si>
  <si>
    <t>Activité 14: Reprise du circuit électrique de la halle de traitement des minerais</t>
  </si>
  <si>
    <t>Activité 15 : Fourniture et pose de tables bancs fixes pour 4 salles de cours</t>
  </si>
  <si>
    <t>Activité 16 : Acquisition de matériels informatiques</t>
  </si>
  <si>
    <t>Activité 17 : Etude de l’installation d’un système de vidéo surveillance et de télésurveillance</t>
  </si>
  <si>
    <t>Activité 18 : Travaux d'amenagement du portail principal avec l'inscription Centre d'Excellence Environnement Minier</t>
  </si>
  <si>
    <t xml:space="preserve">Activité 19 : Installation d'un système de vidéo-surveillance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</si>
</sst>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0;[Red]#,##0"/>
    <numFmt numFmtId="166" formatCode="0\ 000\ 000"/>
    <numFmt numFmtId="167" formatCode="0\ 000"/>
    <numFmt numFmtId="168" formatCode="_-* #,##0_-;\-* #,##0_-;_-* &quot;-&quot;??_-;_-@_-"/>
  </numFmts>
  <fonts count="33" x14ac:knownFonts="1">
    <font>
      <sz val="11"/>
      <color theme="1"/>
      <name val="Calibri"/>
      <family val="2"/>
      <scheme val="minor"/>
    </font>
    <font>
      <sz val="12"/>
      <color rgb="FF000000"/>
      <name val="Times New Roman"/>
      <family val="1"/>
    </font>
    <font>
      <b/>
      <sz val="12"/>
      <color rgb="FF000000"/>
      <name val="Times New Roman"/>
      <family val="1"/>
    </font>
    <font>
      <b/>
      <sz val="12"/>
      <color theme="1"/>
      <name val="Times New Roman"/>
      <family val="1"/>
    </font>
    <font>
      <b/>
      <i/>
      <sz val="12"/>
      <color theme="1"/>
      <name val="Times New Roman"/>
      <family val="1"/>
    </font>
    <font>
      <sz val="12"/>
      <name val="Times New Roman"/>
      <family val="1"/>
    </font>
    <font>
      <sz val="12"/>
      <color theme="1"/>
      <name val="Times New Roman"/>
      <family val="1"/>
    </font>
    <font>
      <sz val="12"/>
      <color rgb="FF0070C0"/>
      <name val="Times New Roman"/>
      <family val="1"/>
    </font>
    <font>
      <b/>
      <i/>
      <sz val="12"/>
      <name val="Times New Roman"/>
      <family val="1"/>
    </font>
    <font>
      <sz val="9"/>
      <name val="Calibri"/>
      <family val="2"/>
      <scheme val="minor"/>
    </font>
    <font>
      <sz val="11"/>
      <color rgb="FF000000"/>
      <name val="Calibri"/>
      <family val="2"/>
      <scheme val="minor"/>
    </font>
    <font>
      <sz val="11"/>
      <name val="Calibri"/>
      <family val="2"/>
      <scheme val="minor"/>
    </font>
    <font>
      <b/>
      <sz val="11"/>
      <color theme="1"/>
      <name val="Calibri"/>
      <family val="2"/>
      <scheme val="minor"/>
    </font>
    <font>
      <b/>
      <sz val="12"/>
      <name val="Times New Roman"/>
      <family val="1"/>
    </font>
    <font>
      <b/>
      <sz val="16"/>
      <color rgb="FFFF0000"/>
      <name val="Calibri"/>
      <family val="2"/>
      <scheme val="minor"/>
    </font>
    <font>
      <b/>
      <sz val="16"/>
      <color rgb="FFFF0000"/>
      <name val="Times New Roman"/>
      <family val="1"/>
    </font>
    <font>
      <sz val="11"/>
      <color rgb="FFFF0000"/>
      <name val="Calibri"/>
      <family val="2"/>
      <scheme val="minor"/>
    </font>
    <font>
      <b/>
      <sz val="20"/>
      <color rgb="FF000000"/>
      <name val="Calibri"/>
      <family val="2"/>
      <scheme val="minor"/>
    </font>
    <font>
      <b/>
      <sz val="20"/>
      <color rgb="FFFF0000"/>
      <name val="Calibri"/>
      <family val="2"/>
      <scheme val="minor"/>
    </font>
    <font>
      <sz val="11"/>
      <color theme="1"/>
      <name val="Calibri"/>
      <family val="2"/>
      <scheme val="minor"/>
    </font>
    <font>
      <sz val="11"/>
      <color theme="1"/>
      <name val="Times New Roman"/>
      <family val="1"/>
    </font>
    <font>
      <b/>
      <sz val="8"/>
      <color theme="1"/>
      <name val="Times New Roman"/>
      <family val="1"/>
    </font>
    <font>
      <sz val="8"/>
      <color theme="1"/>
      <name val="Times New Roman"/>
      <family val="1"/>
    </font>
    <font>
      <sz val="8"/>
      <name val="Times New Roman"/>
      <family val="1"/>
    </font>
    <font>
      <sz val="11"/>
      <color rgb="FF00B050"/>
      <name val="Calibri"/>
      <family val="2"/>
      <scheme val="minor"/>
    </font>
    <font>
      <sz val="8"/>
      <color rgb="FF000000"/>
      <name val="Times New Roman"/>
      <family val="1"/>
    </font>
    <font>
      <b/>
      <sz val="8"/>
      <color indexed="8"/>
      <name val="Times New Roman"/>
      <family val="1"/>
    </font>
    <font>
      <sz val="8"/>
      <color indexed="8"/>
      <name val="Times New Roman"/>
      <family val="1"/>
    </font>
    <font>
      <sz val="8"/>
      <color rgb="FFFF0000"/>
      <name val="Times New Roman"/>
      <family val="1"/>
    </font>
    <font>
      <b/>
      <i/>
      <sz val="8"/>
      <color theme="1"/>
      <name val="Times New Roman"/>
      <family val="1"/>
    </font>
    <font>
      <b/>
      <sz val="16"/>
      <color theme="1"/>
      <name val="Calibri"/>
      <family val="2"/>
      <scheme val="minor"/>
    </font>
    <font>
      <b/>
      <sz val="18"/>
      <color rgb="FF000000"/>
      <name val="Calibri"/>
      <family val="2"/>
      <scheme val="minor"/>
    </font>
    <font>
      <sz val="12"/>
      <color rgb="FFFF0000"/>
      <name val="Times New Roman"/>
      <family val="1"/>
    </font>
  </fonts>
  <fills count="18">
    <fill>
      <patternFill patternType="none"/>
    </fill>
    <fill>
      <patternFill patternType="gray125"/>
    </fill>
    <fill>
      <patternFill patternType="solid">
        <fgColor rgb="FFFFFF00"/>
        <bgColor indexed="64"/>
      </patternFill>
    </fill>
    <fill>
      <patternFill patternType="solid">
        <fgColor rgb="FFFFFFFF"/>
        <bgColor rgb="FF000000"/>
      </patternFill>
    </fill>
    <fill>
      <patternFill patternType="solid">
        <fgColor rgb="FF0070C0"/>
        <bgColor rgb="FF000000"/>
      </patternFill>
    </fill>
    <fill>
      <patternFill patternType="solid">
        <fgColor rgb="FFC00000"/>
        <bgColor rgb="FF000000"/>
      </patternFill>
    </fill>
    <fill>
      <patternFill patternType="solid">
        <fgColor rgb="FF009FDA"/>
        <bgColor rgb="FF000000"/>
      </patternFill>
    </fill>
    <fill>
      <patternFill patternType="solid">
        <fgColor rgb="FFD6DCE4"/>
        <bgColor rgb="FF000000"/>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009FDA"/>
        <bgColor indexed="64"/>
      </patternFill>
    </fill>
    <fill>
      <patternFill patternType="solid">
        <fgColor rgb="FF0070C0"/>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s>
  <cellStyleXfs count="3">
    <xf numFmtId="0" fontId="0" fillId="0" borderId="0"/>
    <xf numFmtId="43" fontId="19" fillId="0" borderId="0" applyFont="0" applyFill="0" applyBorder="0" applyAlignment="0" applyProtection="0"/>
    <xf numFmtId="9" fontId="19" fillId="0" borderId="0" applyFont="0" applyFill="0" applyBorder="0" applyAlignment="0" applyProtection="0"/>
  </cellStyleXfs>
  <cellXfs count="291">
    <xf numFmtId="0" fontId="0" fillId="0" borderId="0" xfId="0"/>
    <xf numFmtId="0" fontId="5" fillId="0" borderId="1"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horizontal="center" vertical="top" wrapText="1"/>
    </xf>
    <xf numFmtId="0" fontId="5" fillId="0" borderId="3" xfId="0" applyFont="1" applyBorder="1" applyAlignment="1">
      <alignment vertical="top" wrapText="1"/>
    </xf>
    <xf numFmtId="0" fontId="6" fillId="0" borderId="1" xfId="0" applyFont="1" applyBorder="1" applyAlignment="1">
      <alignment horizontal="lef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5" fillId="0" borderId="4" xfId="0" applyFont="1" applyBorder="1" applyAlignment="1">
      <alignment vertical="top" wrapText="1"/>
    </xf>
    <xf numFmtId="0" fontId="6" fillId="0" borderId="5" xfId="0" applyFont="1" applyBorder="1" applyAlignment="1">
      <alignment horizontal="left" vertical="top" wrapText="1"/>
    </xf>
    <xf numFmtId="0" fontId="6" fillId="14" borderId="1" xfId="0" applyFont="1" applyFill="1" applyBorder="1" applyAlignment="1">
      <alignment vertical="top" wrapText="1"/>
    </xf>
    <xf numFmtId="0" fontId="0" fillId="0" borderId="0" xfId="0" applyAlignment="1">
      <alignment wrapText="1"/>
    </xf>
    <xf numFmtId="0" fontId="5" fillId="10" borderId="1" xfId="0" applyFont="1" applyFill="1" applyBorder="1" applyAlignment="1">
      <alignment vertical="top" wrapText="1"/>
    </xf>
    <xf numFmtId="0" fontId="6" fillId="10" borderId="1" xfId="0" applyFont="1" applyFill="1" applyBorder="1" applyAlignment="1">
      <alignment vertical="top" wrapText="1"/>
    </xf>
    <xf numFmtId="0" fontId="5" fillId="10" borderId="4" xfId="0" applyFont="1" applyFill="1" applyBorder="1" applyAlignment="1">
      <alignment vertical="top" wrapText="1"/>
    </xf>
    <xf numFmtId="0" fontId="5" fillId="0" borderId="1" xfId="0" applyFont="1" applyBorder="1" applyAlignment="1">
      <alignment horizontal="righ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4" fillId="0" borderId="1" xfId="0" applyFont="1" applyBorder="1" applyAlignment="1">
      <alignment horizontal="left" vertical="top" wrapText="1"/>
    </xf>
    <xf numFmtId="0" fontId="4" fillId="13" borderId="4" xfId="0" applyFont="1" applyFill="1" applyBorder="1" applyAlignment="1">
      <alignment horizontal="left" vertical="top" wrapText="1"/>
    </xf>
    <xf numFmtId="0" fontId="4" fillId="0" borderId="4" xfId="0" applyFont="1" applyBorder="1" applyAlignment="1">
      <alignment horizontal="left" vertical="top" wrapText="1"/>
    </xf>
    <xf numFmtId="0" fontId="5" fillId="0" borderId="4" xfId="0" applyFont="1" applyBorder="1" applyAlignment="1">
      <alignment horizontal="right" vertical="top" wrapText="1"/>
    </xf>
    <xf numFmtId="0" fontId="6" fillId="10" borderId="4" xfId="0" applyFont="1" applyFill="1" applyBorder="1" applyAlignment="1">
      <alignment vertical="top" wrapText="1"/>
    </xf>
    <xf numFmtId="0" fontId="4" fillId="13" borderId="1" xfId="0" applyFont="1" applyFill="1" applyBorder="1" applyAlignment="1">
      <alignment horizontal="left" vertical="top" wrapText="1"/>
    </xf>
    <xf numFmtId="0" fontId="6" fillId="10" borderId="3" xfId="0" applyFont="1" applyFill="1" applyBorder="1" applyAlignment="1">
      <alignment vertical="top" wrapText="1"/>
    </xf>
    <xf numFmtId="0" fontId="6" fillId="10" borderId="5" xfId="0" applyFont="1" applyFill="1" applyBorder="1" applyAlignment="1">
      <alignment vertical="top" wrapText="1"/>
    </xf>
    <xf numFmtId="0" fontId="6" fillId="0" borderId="5" xfId="0" applyFont="1" applyBorder="1" applyAlignment="1">
      <alignment vertical="top" wrapText="1"/>
    </xf>
    <xf numFmtId="0" fontId="6" fillId="0" borderId="10" xfId="0" applyFont="1" applyBorder="1" applyAlignment="1">
      <alignment vertical="top" wrapText="1"/>
    </xf>
    <xf numFmtId="0" fontId="5" fillId="11" borderId="3" xfId="0" applyFont="1" applyFill="1" applyBorder="1" applyAlignment="1">
      <alignment vertical="top" wrapText="1"/>
    </xf>
    <xf numFmtId="0" fontId="6" fillId="0" borderId="4" xfId="0" applyFont="1" applyBorder="1" applyAlignment="1">
      <alignment horizontal="left" vertical="top" wrapText="1"/>
    </xf>
    <xf numFmtId="0" fontId="5" fillId="0" borderId="5" xfId="0" applyFont="1" applyBorder="1" applyAlignment="1">
      <alignment horizontal="right" vertical="top" wrapText="1"/>
    </xf>
    <xf numFmtId="0" fontId="11" fillId="0" borderId="0" xfId="0" applyFont="1" applyAlignment="1">
      <alignment wrapText="1"/>
    </xf>
    <xf numFmtId="0" fontId="1" fillId="0" borderId="1" xfId="0" applyFont="1" applyBorder="1" applyAlignment="1">
      <alignment vertical="top" wrapText="1"/>
    </xf>
    <xf numFmtId="0" fontId="10" fillId="0" borderId="0" xfId="0" applyFont="1" applyAlignment="1">
      <alignment wrapText="1"/>
    </xf>
    <xf numFmtId="0" fontId="10" fillId="2" borderId="1" xfId="0" applyFont="1" applyFill="1" applyBorder="1" applyAlignment="1">
      <alignment wrapText="1"/>
    </xf>
    <xf numFmtId="0" fontId="10" fillId="14" borderId="0" xfId="0" applyFont="1" applyFill="1" applyAlignment="1">
      <alignment wrapText="1"/>
    </xf>
    <xf numFmtId="1" fontId="0" fillId="0" borderId="0" xfId="0" applyNumberFormat="1" applyAlignment="1">
      <alignment wrapText="1"/>
    </xf>
    <xf numFmtId="0" fontId="8" fillId="9" borderId="3" xfId="0" applyFont="1" applyFill="1" applyBorder="1" applyAlignment="1">
      <alignment vertical="top" wrapText="1"/>
    </xf>
    <xf numFmtId="0" fontId="8" fillId="9" borderId="4" xfId="0" applyFont="1" applyFill="1" applyBorder="1" applyAlignment="1">
      <alignment vertical="top" wrapText="1"/>
    </xf>
    <xf numFmtId="0" fontId="8" fillId="9" borderId="5" xfId="0" applyFont="1" applyFill="1" applyBorder="1" applyAlignment="1">
      <alignment vertical="top" wrapText="1"/>
    </xf>
    <xf numFmtId="0" fontId="13" fillId="8" borderId="4" xfId="0" applyFont="1" applyFill="1" applyBorder="1" applyAlignment="1">
      <alignment horizontal="left" vertical="top" wrapText="1"/>
    </xf>
    <xf numFmtId="0" fontId="5" fillId="14" borderId="1" xfId="0" applyFont="1" applyFill="1" applyBorder="1" applyAlignment="1">
      <alignment horizontal="right" vertical="top" wrapText="1"/>
    </xf>
    <xf numFmtId="0" fontId="5" fillId="14" borderId="1" xfId="0" applyFont="1" applyFill="1" applyBorder="1" applyAlignment="1">
      <alignment vertical="top" wrapText="1"/>
    </xf>
    <xf numFmtId="0" fontId="7" fillId="14" borderId="1" xfId="0" applyFont="1" applyFill="1" applyBorder="1" applyAlignment="1">
      <alignment vertical="top" wrapText="1"/>
    </xf>
    <xf numFmtId="0" fontId="6" fillId="10" borderId="6" xfId="0" applyFont="1" applyFill="1" applyBorder="1" applyAlignment="1">
      <alignment vertical="top" wrapText="1"/>
    </xf>
    <xf numFmtId="0" fontId="6" fillId="0" borderId="0" xfId="0" applyFont="1" applyAlignment="1">
      <alignment horizontal="left" vertical="top" wrapText="1"/>
    </xf>
    <xf numFmtId="0" fontId="4" fillId="13" borderId="7" xfId="0" applyFont="1" applyFill="1" applyBorder="1" applyAlignment="1">
      <alignment horizontal="left" vertical="top" wrapText="1"/>
    </xf>
    <xf numFmtId="0" fontId="5" fillId="10" borderId="3" xfId="0" applyFont="1" applyFill="1" applyBorder="1" applyAlignment="1">
      <alignment vertical="top" wrapText="1"/>
    </xf>
    <xf numFmtId="0" fontId="5" fillId="10" borderId="5" xfId="0" applyFont="1" applyFill="1" applyBorder="1" applyAlignment="1">
      <alignment vertical="top" wrapText="1"/>
    </xf>
    <xf numFmtId="0" fontId="4" fillId="14" borderId="1" xfId="0" applyFont="1" applyFill="1" applyBorder="1" applyAlignment="1">
      <alignment horizontal="left" vertical="top" wrapText="1"/>
    </xf>
    <xf numFmtId="0" fontId="6" fillId="0" borderId="6" xfId="0" applyFont="1" applyBorder="1" applyAlignment="1">
      <alignment horizontal="left" vertical="top" wrapText="1"/>
    </xf>
    <xf numFmtId="0" fontId="5" fillId="0" borderId="6" xfId="0" applyFont="1" applyBorder="1" applyAlignment="1">
      <alignment vertical="top" wrapText="1"/>
    </xf>
    <xf numFmtId="0" fontId="4" fillId="13" borderId="6" xfId="0" applyFont="1" applyFill="1" applyBorder="1" applyAlignment="1">
      <alignment horizontal="left" vertical="top" wrapText="1"/>
    </xf>
    <xf numFmtId="0" fontId="6" fillId="0" borderId="0" xfId="0" applyFont="1" applyAlignment="1">
      <alignment vertical="top" wrapText="1"/>
    </xf>
    <xf numFmtId="0" fontId="5" fillId="0" borderId="0" xfId="0" applyFont="1" applyAlignment="1">
      <alignment vertical="top" wrapText="1"/>
    </xf>
    <xf numFmtId="0" fontId="4" fillId="14" borderId="0" xfId="0" applyFont="1" applyFill="1" applyAlignment="1">
      <alignment horizontal="left" vertical="top" wrapText="1"/>
    </xf>
    <xf numFmtId="0" fontId="5" fillId="0" borderId="0" xfId="0" applyFont="1" applyAlignment="1">
      <alignment horizontal="right" vertical="top" wrapText="1"/>
    </xf>
    <xf numFmtId="0" fontId="5" fillId="0" borderId="0" xfId="0" applyFont="1" applyAlignment="1">
      <alignment horizontal="left" vertical="top" wrapText="1"/>
    </xf>
    <xf numFmtId="0" fontId="12" fillId="14" borderId="0" xfId="0" applyFont="1" applyFill="1" applyAlignment="1">
      <alignment wrapText="1"/>
    </xf>
    <xf numFmtId="0" fontId="4" fillId="0" borderId="5" xfId="0" applyFont="1" applyBorder="1" applyAlignment="1">
      <alignment horizontal="left" vertical="top" wrapText="1"/>
    </xf>
    <xf numFmtId="1" fontId="0" fillId="0" borderId="1" xfId="0" applyNumberFormat="1" applyBorder="1"/>
    <xf numFmtId="0" fontId="6" fillId="0" borderId="0" xfId="0" applyFont="1" applyAlignment="1">
      <alignment wrapText="1"/>
    </xf>
    <xf numFmtId="0" fontId="7" fillId="14" borderId="4" xfId="0" applyFont="1" applyFill="1" applyBorder="1" applyAlignment="1">
      <alignment vertical="top" wrapText="1"/>
    </xf>
    <xf numFmtId="0" fontId="15" fillId="0" borderId="4" xfId="0" applyFont="1" applyBorder="1" applyAlignment="1">
      <alignment vertical="top" wrapText="1"/>
    </xf>
    <xf numFmtId="0" fontId="15" fillId="0" borderId="1" xfId="0" applyFont="1" applyBorder="1" applyAlignment="1">
      <alignment vertical="top" wrapText="1"/>
    </xf>
    <xf numFmtId="0" fontId="15" fillId="0" borderId="1" xfId="0" applyFont="1" applyBorder="1" applyAlignment="1">
      <alignment horizontal="right" vertical="top" wrapText="1"/>
    </xf>
    <xf numFmtId="0" fontId="15" fillId="0" borderId="4" xfId="0" applyFont="1" applyBorder="1" applyAlignment="1">
      <alignment horizontal="right" vertical="top" wrapText="1"/>
    </xf>
    <xf numFmtId="0" fontId="15" fillId="0" borderId="0" xfId="0" applyFont="1" applyAlignment="1">
      <alignment horizontal="right" vertical="top" wrapText="1"/>
    </xf>
    <xf numFmtId="0" fontId="5" fillId="6" borderId="4" xfId="0" applyFont="1" applyFill="1" applyBorder="1" applyAlignment="1">
      <alignment vertical="top" wrapText="1"/>
    </xf>
    <xf numFmtId="0" fontId="5" fillId="0" borderId="5" xfId="0" applyFont="1" applyBorder="1" applyAlignment="1">
      <alignment vertical="top" wrapText="1"/>
    </xf>
    <xf numFmtId="0" fontId="14" fillId="14" borderId="0" xfId="0" applyFont="1" applyFill="1" applyAlignment="1">
      <alignment wrapText="1"/>
    </xf>
    <xf numFmtId="0" fontId="4" fillId="9" borderId="13" xfId="0" applyFont="1" applyFill="1" applyBorder="1" applyAlignment="1">
      <alignment horizontal="left" vertical="top" wrapText="1"/>
    </xf>
    <xf numFmtId="0" fontId="12" fillId="0" borderId="0" xfId="0" applyFont="1" applyAlignment="1">
      <alignment wrapText="1"/>
    </xf>
    <xf numFmtId="0" fontId="6" fillId="0" borderId="0" xfId="0" applyFont="1"/>
    <xf numFmtId="0" fontId="5" fillId="10" borderId="14" xfId="0" applyFont="1" applyFill="1" applyBorder="1" applyAlignment="1">
      <alignment horizontal="center" vertical="top" wrapText="1"/>
    </xf>
    <xf numFmtId="0" fontId="4" fillId="9" borderId="3"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5"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8" borderId="4" xfId="0" applyFont="1" applyFill="1" applyBorder="1" applyAlignment="1">
      <alignment horizontal="left" vertical="top" wrapText="1"/>
    </xf>
    <xf numFmtId="0" fontId="3" fillId="8" borderId="5" xfId="0" applyFont="1" applyFill="1" applyBorder="1" applyAlignment="1">
      <alignment horizontal="left" vertical="top" wrapText="1"/>
    </xf>
    <xf numFmtId="0" fontId="4" fillId="9" borderId="9" xfId="0" applyFont="1" applyFill="1" applyBorder="1" applyAlignment="1">
      <alignment horizontal="left" vertical="top" wrapText="1"/>
    </xf>
    <xf numFmtId="0" fontId="8" fillId="9" borderId="3" xfId="0" applyFont="1" applyFill="1" applyBorder="1" applyAlignment="1">
      <alignment horizontal="left" vertical="top" wrapText="1"/>
    </xf>
    <xf numFmtId="0" fontId="8" fillId="9" borderId="4" xfId="0" applyFont="1" applyFill="1" applyBorder="1" applyAlignment="1">
      <alignment horizontal="left" vertical="top" wrapText="1"/>
    </xf>
    <xf numFmtId="0" fontId="8" fillId="9" borderId="5" xfId="0" applyFont="1" applyFill="1" applyBorder="1" applyAlignment="1">
      <alignment horizontal="left" vertical="top"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7" borderId="1" xfId="0" applyFont="1" applyFill="1" applyBorder="1" applyAlignment="1">
      <alignment vertical="center" wrapText="1"/>
    </xf>
    <xf numFmtId="0" fontId="1" fillId="7" borderId="1" xfId="0" applyFont="1" applyFill="1" applyBorder="1" applyAlignment="1">
      <alignment horizontal="center" vertical="center" wrapText="1"/>
    </xf>
    <xf numFmtId="0" fontId="5" fillId="0" borderId="1" xfId="0" applyFont="1" applyFill="1" applyBorder="1" applyAlignment="1">
      <alignment vertical="top" wrapText="1"/>
    </xf>
    <xf numFmtId="0" fontId="5" fillId="13" borderId="1" xfId="0" applyFont="1" applyFill="1" applyBorder="1" applyAlignment="1">
      <alignment vertical="top" wrapText="1"/>
    </xf>
    <xf numFmtId="0" fontId="5" fillId="0" borderId="1" xfId="0" applyFont="1" applyFill="1" applyBorder="1" applyAlignment="1">
      <alignment horizontal="center" vertical="top" wrapText="1"/>
    </xf>
    <xf numFmtId="0" fontId="6" fillId="0" borderId="1" xfId="0" applyFont="1" applyFill="1" applyBorder="1" applyAlignment="1">
      <alignment vertical="top" wrapText="1"/>
    </xf>
    <xf numFmtId="0" fontId="7" fillId="0" borderId="1" xfId="0" applyFont="1" applyFill="1" applyBorder="1" applyAlignment="1">
      <alignment vertical="top" wrapText="1"/>
    </xf>
    <xf numFmtId="0" fontId="5" fillId="0" borderId="4" xfId="0" applyFont="1" applyFill="1" applyBorder="1" applyAlignment="1">
      <alignment vertical="top" wrapText="1"/>
    </xf>
    <xf numFmtId="0" fontId="4" fillId="0" borderId="1" xfId="0" applyFont="1" applyFill="1" applyBorder="1" applyAlignment="1">
      <alignment horizontal="left" vertical="top" wrapText="1"/>
    </xf>
    <xf numFmtId="0" fontId="4" fillId="13" borderId="5" xfId="0" applyFont="1" applyFill="1" applyBorder="1" applyAlignment="1">
      <alignment horizontal="left" vertical="top" wrapText="1"/>
    </xf>
    <xf numFmtId="0" fontId="4" fillId="0" borderId="4" xfId="0" applyFont="1" applyFill="1" applyBorder="1" applyAlignment="1">
      <alignment horizontal="left" vertical="top" wrapText="1"/>
    </xf>
    <xf numFmtId="0" fontId="5" fillId="0" borderId="3" xfId="0" applyFont="1" applyFill="1" applyBorder="1" applyAlignment="1">
      <alignment vertical="top" wrapText="1"/>
    </xf>
    <xf numFmtId="0" fontId="5" fillId="13" borderId="1" xfId="0" applyFont="1" applyFill="1" applyBorder="1" applyAlignment="1">
      <alignment horizontal="center" vertical="top" wrapText="1"/>
    </xf>
    <xf numFmtId="0" fontId="5" fillId="13" borderId="0" xfId="0" applyFont="1" applyFill="1" applyAlignment="1">
      <alignment horizontal="center" vertical="top" wrapText="1"/>
    </xf>
    <xf numFmtId="0" fontId="6" fillId="13" borderId="3" xfId="0" applyFont="1" applyFill="1" applyBorder="1" applyAlignment="1">
      <alignment vertical="top" wrapText="1"/>
    </xf>
    <xf numFmtId="0" fontId="6" fillId="13" borderId="1" xfId="0" applyFont="1" applyFill="1" applyBorder="1" applyAlignment="1">
      <alignment vertical="top" wrapText="1"/>
    </xf>
    <xf numFmtId="0" fontId="6" fillId="15" borderId="1" xfId="0" applyFont="1" applyFill="1" applyBorder="1" applyAlignment="1">
      <alignment vertical="top" wrapText="1"/>
    </xf>
    <xf numFmtId="0" fontId="7" fillId="13" borderId="1" xfId="0" applyFont="1" applyFill="1" applyBorder="1" applyAlignment="1">
      <alignment vertical="top" wrapText="1"/>
    </xf>
    <xf numFmtId="0" fontId="15" fillId="0" borderId="4" xfId="0" applyFont="1" applyFill="1" applyBorder="1" applyAlignment="1">
      <alignment horizontal="right" vertical="top" wrapText="1"/>
    </xf>
    <xf numFmtId="0" fontId="5" fillId="0" borderId="4" xfId="0" applyFont="1" applyFill="1" applyBorder="1" applyAlignment="1">
      <alignment horizontal="right" vertical="top" wrapText="1"/>
    </xf>
    <xf numFmtId="0" fontId="5" fillId="0" borderId="5" xfId="0" applyFont="1" applyFill="1" applyBorder="1" applyAlignment="1">
      <alignment horizontal="left" vertical="top" wrapText="1"/>
    </xf>
    <xf numFmtId="0" fontId="0" fillId="0" borderId="0" xfId="0" applyFill="1" applyAlignment="1">
      <alignment wrapText="1"/>
    </xf>
    <xf numFmtId="0" fontId="4" fillId="13" borderId="3" xfId="0" applyFont="1" applyFill="1" applyBorder="1" applyAlignment="1">
      <alignment horizontal="left" vertical="top" wrapText="1"/>
    </xf>
    <xf numFmtId="1" fontId="15" fillId="0" borderId="1" xfId="0" applyNumberFormat="1" applyFont="1" applyBorder="1" applyAlignment="1">
      <alignment horizontal="right" vertical="top" wrapText="1"/>
    </xf>
    <xf numFmtId="0" fontId="5" fillId="0" borderId="1" xfId="0" applyFont="1" applyBorder="1" applyAlignment="1">
      <alignment vertical="center" wrapText="1"/>
    </xf>
    <xf numFmtId="0" fontId="5" fillId="0" borderId="2" xfId="0" applyFont="1" applyBorder="1" applyAlignment="1">
      <alignment horizontal="left" vertical="center" wrapText="1"/>
    </xf>
    <xf numFmtId="0" fontId="8" fillId="13" borderId="1" xfId="0" applyFont="1" applyFill="1" applyBorder="1" applyAlignment="1">
      <alignment horizontal="left" vertical="top" wrapText="1"/>
    </xf>
    <xf numFmtId="0" fontId="20" fillId="2" borderId="0" xfId="0" applyFont="1" applyFill="1" applyAlignment="1">
      <alignment wrapText="1"/>
    </xf>
    <xf numFmtId="3" fontId="0" fillId="0" borderId="0" xfId="0" applyNumberFormat="1"/>
    <xf numFmtId="0" fontId="21" fillId="0" borderId="1" xfId="0" applyFont="1" applyBorder="1" applyAlignment="1">
      <alignment wrapText="1"/>
    </xf>
    <xf numFmtId="0" fontId="21" fillId="0" borderId="3" xfId="0" applyFont="1" applyBorder="1"/>
    <xf numFmtId="0" fontId="21" fillId="0" borderId="1" xfId="0" applyFont="1" applyBorder="1"/>
    <xf numFmtId="1" fontId="21" fillId="0" borderId="1" xfId="0" applyNumberFormat="1" applyFont="1" applyBorder="1"/>
    <xf numFmtId="1" fontId="21" fillId="0" borderId="1" xfId="0" applyNumberFormat="1" applyFont="1" applyFill="1" applyBorder="1" applyAlignment="1">
      <alignment wrapText="1"/>
    </xf>
    <xf numFmtId="0" fontId="21" fillId="16" borderId="1" xfId="0" applyFont="1" applyFill="1" applyBorder="1"/>
    <xf numFmtId="3" fontId="21" fillId="16" borderId="1" xfId="0" applyNumberFormat="1" applyFont="1" applyFill="1" applyBorder="1"/>
    <xf numFmtId="9" fontId="21" fillId="16" borderId="1" xfId="2" applyFont="1" applyFill="1" applyBorder="1"/>
    <xf numFmtId="0" fontId="12" fillId="0" borderId="0" xfId="0" applyFont="1"/>
    <xf numFmtId="0" fontId="21" fillId="16" borderId="1" xfId="0" applyFont="1" applyFill="1" applyBorder="1" applyAlignment="1">
      <alignment wrapText="1"/>
    </xf>
    <xf numFmtId="0" fontId="22" fillId="0" borderId="1" xfId="0" applyFont="1" applyBorder="1" applyAlignment="1">
      <alignment wrapText="1"/>
    </xf>
    <xf numFmtId="3" fontId="22" fillId="0" borderId="1" xfId="0" applyNumberFormat="1" applyFont="1" applyBorder="1" applyAlignment="1">
      <alignment wrapText="1"/>
    </xf>
    <xf numFmtId="3" fontId="22" fillId="0" borderId="1" xfId="0" applyNumberFormat="1" applyFont="1" applyBorder="1"/>
    <xf numFmtId="9" fontId="22" fillId="0" borderId="1" xfId="2" applyFont="1" applyBorder="1"/>
    <xf numFmtId="3" fontId="23" fillId="0" borderId="1" xfId="0" applyNumberFormat="1" applyFont="1" applyBorder="1"/>
    <xf numFmtId="0" fontId="22" fillId="0" borderId="1" xfId="0" applyFont="1" applyBorder="1" applyAlignment="1">
      <alignment horizontal="left"/>
    </xf>
    <xf numFmtId="3" fontId="0" fillId="0" borderId="1" xfId="0" applyNumberFormat="1" applyBorder="1"/>
    <xf numFmtId="3" fontId="21" fillId="16" borderId="1" xfId="0" applyNumberFormat="1" applyFont="1" applyFill="1" applyBorder="1" applyAlignment="1">
      <alignment wrapText="1"/>
    </xf>
    <xf numFmtId="0" fontId="16" fillId="0" borderId="0" xfId="0" applyFont="1" applyFill="1"/>
    <xf numFmtId="0" fontId="0" fillId="0" borderId="0" xfId="0" applyBorder="1"/>
    <xf numFmtId="0" fontId="23" fillId="0" borderId="1" xfId="0" applyFont="1" applyFill="1" applyBorder="1" applyAlignment="1">
      <alignment wrapText="1"/>
    </xf>
    <xf numFmtId="3" fontId="23" fillId="0" borderId="1" xfId="0" applyNumberFormat="1" applyFont="1" applyFill="1" applyBorder="1" applyAlignment="1">
      <alignment wrapText="1"/>
    </xf>
    <xf numFmtId="3" fontId="23" fillId="0" borderId="1" xfId="0" applyNumberFormat="1" applyFont="1" applyFill="1" applyBorder="1"/>
    <xf numFmtId="9" fontId="23" fillId="0" borderId="1" xfId="2" applyFont="1" applyFill="1" applyBorder="1"/>
    <xf numFmtId="0" fontId="11" fillId="0" borderId="0" xfId="0" applyFont="1" applyFill="1"/>
    <xf numFmtId="0" fontId="16" fillId="0" borderId="0" xfId="0" applyFont="1"/>
    <xf numFmtId="3" fontId="22" fillId="0" borderId="0" xfId="0" applyNumberFormat="1" applyFont="1" applyBorder="1"/>
    <xf numFmtId="165" fontId="22" fillId="0" borderId="0" xfId="0" applyNumberFormat="1" applyFont="1" applyBorder="1"/>
    <xf numFmtId="166" fontId="21" fillId="0" borderId="1" xfId="0" applyNumberFormat="1" applyFont="1" applyBorder="1"/>
    <xf numFmtId="167" fontId="21" fillId="0" borderId="1" xfId="0" applyNumberFormat="1" applyFont="1" applyBorder="1"/>
    <xf numFmtId="166" fontId="0" fillId="0" borderId="0" xfId="0" applyNumberFormat="1"/>
    <xf numFmtId="167" fontId="0" fillId="0" borderId="0" xfId="0" applyNumberFormat="1"/>
    <xf numFmtId="0" fontId="24" fillId="0" borderId="0" xfId="0" applyFont="1" applyAlignment="1">
      <alignment horizontal="center"/>
    </xf>
    <xf numFmtId="43" fontId="0" fillId="0" borderId="0" xfId="1" applyFont="1"/>
    <xf numFmtId="43" fontId="24" fillId="0" borderId="0" xfId="1" applyFont="1"/>
    <xf numFmtId="164" fontId="0" fillId="0" borderId="0" xfId="0" applyNumberFormat="1"/>
    <xf numFmtId="0" fontId="0" fillId="0" borderId="0" xfId="0" applyAlignment="1">
      <alignment horizontal="center"/>
    </xf>
    <xf numFmtId="3" fontId="21" fillId="0" borderId="1" xfId="0" applyNumberFormat="1" applyFont="1" applyBorder="1"/>
    <xf numFmtId="3" fontId="22" fillId="16" borderId="1" xfId="0" applyNumberFormat="1" applyFont="1" applyFill="1" applyBorder="1"/>
    <xf numFmtId="0" fontId="22" fillId="16" borderId="1" xfId="0" applyFont="1" applyFill="1" applyBorder="1"/>
    <xf numFmtId="0" fontId="22" fillId="16" borderId="1" xfId="0" applyFont="1" applyFill="1" applyBorder="1" applyAlignment="1">
      <alignment wrapText="1"/>
    </xf>
    <xf numFmtId="0" fontId="22" fillId="0" borderId="1" xfId="0" applyFont="1" applyBorder="1"/>
    <xf numFmtId="0" fontId="21" fillId="0" borderId="2" xfId="0" applyFont="1" applyBorder="1" applyAlignment="1">
      <alignment horizontal="left" vertical="top" wrapText="1"/>
    </xf>
    <xf numFmtId="0" fontId="28" fillId="0" borderId="1" xfId="0" applyFont="1" applyBorder="1" applyAlignment="1">
      <alignment wrapText="1"/>
    </xf>
    <xf numFmtId="0" fontId="29" fillId="0" borderId="1" xfId="0" applyFont="1" applyBorder="1" applyAlignment="1">
      <alignment wrapText="1"/>
    </xf>
    <xf numFmtId="0" fontId="5" fillId="14" borderId="1" xfId="0" applyFont="1" applyFill="1" applyBorder="1" applyAlignment="1">
      <alignment horizontal="center" vertical="top" wrapText="1"/>
    </xf>
    <xf numFmtId="0" fontId="6" fillId="14" borderId="1" xfId="0" applyFont="1" applyFill="1" applyBorder="1" applyAlignment="1">
      <alignment wrapText="1"/>
    </xf>
    <xf numFmtId="3" fontId="12" fillId="0" borderId="0" xfId="0" applyNumberFormat="1" applyFont="1"/>
    <xf numFmtId="3" fontId="22" fillId="14" borderId="1" xfId="0" applyNumberFormat="1" applyFont="1" applyFill="1" applyBorder="1"/>
    <xf numFmtId="168" fontId="0" fillId="0" borderId="0" xfId="1" applyNumberFormat="1" applyFont="1"/>
    <xf numFmtId="168" fontId="0" fillId="0" borderId="0" xfId="0" applyNumberFormat="1"/>
    <xf numFmtId="3" fontId="23" fillId="17" borderId="1" xfId="0" applyNumberFormat="1" applyFont="1" applyFill="1" applyBorder="1"/>
    <xf numFmtId="168" fontId="4" fillId="9" borderId="4" xfId="0" applyNumberFormat="1" applyFont="1" applyFill="1" applyBorder="1" applyAlignment="1">
      <alignment horizontal="left" vertical="top" wrapText="1"/>
    </xf>
    <xf numFmtId="168" fontId="8" fillId="9" borderId="4" xfId="0" applyNumberFormat="1" applyFont="1" applyFill="1" applyBorder="1" applyAlignment="1">
      <alignment vertical="top" wrapText="1"/>
    </xf>
    <xf numFmtId="1" fontId="30" fillId="0" borderId="0" xfId="0" applyNumberFormat="1" applyFont="1" applyAlignment="1">
      <alignment wrapText="1"/>
    </xf>
    <xf numFmtId="168" fontId="30" fillId="0" borderId="0" xfId="1" applyNumberFormat="1" applyFont="1" applyAlignment="1">
      <alignment wrapText="1"/>
    </xf>
    <xf numFmtId="0" fontId="30" fillId="0" borderId="0" xfId="0" applyFont="1" applyAlignment="1">
      <alignment wrapText="1"/>
    </xf>
    <xf numFmtId="168" fontId="31" fillId="0" borderId="0" xfId="0" applyNumberFormat="1" applyFont="1" applyAlignment="1">
      <alignment wrapText="1"/>
    </xf>
    <xf numFmtId="0" fontId="12" fillId="0" borderId="0" xfId="0" applyFont="1" applyBorder="1"/>
    <xf numFmtId="0" fontId="6" fillId="10" borderId="7" xfId="0" applyFont="1" applyFill="1" applyBorder="1" applyAlignment="1">
      <alignment vertical="top" wrapText="1"/>
    </xf>
    <xf numFmtId="0" fontId="6" fillId="13" borderId="4" xfId="0" applyFont="1" applyFill="1" applyBorder="1" applyAlignment="1">
      <alignment vertical="top" wrapText="1"/>
    </xf>
    <xf numFmtId="0" fontId="6" fillId="10" borderId="8" xfId="0" applyFont="1" applyFill="1" applyBorder="1" applyAlignment="1">
      <alignment vertical="top" wrapText="1"/>
    </xf>
    <xf numFmtId="0" fontId="6" fillId="14" borderId="3" xfId="0" applyFont="1" applyFill="1" applyBorder="1" applyAlignment="1">
      <alignment vertical="top" wrapText="1"/>
    </xf>
    <xf numFmtId="0" fontId="6" fillId="14" borderId="4" xfId="0" applyFont="1" applyFill="1" applyBorder="1" applyAlignment="1">
      <alignment vertical="top" wrapText="1"/>
    </xf>
    <xf numFmtId="0" fontId="4" fillId="14" borderId="4" xfId="0" applyFont="1" applyFill="1" applyBorder="1" applyAlignment="1">
      <alignment horizontal="left" vertical="top" wrapText="1"/>
    </xf>
    <xf numFmtId="0" fontId="4" fillId="14" borderId="3" xfId="0" applyFont="1" applyFill="1" applyBorder="1" applyAlignment="1">
      <alignment horizontal="left" vertical="top" wrapText="1"/>
    </xf>
    <xf numFmtId="0" fontId="4" fillId="14" borderId="5" xfId="0" applyFont="1" applyFill="1" applyBorder="1" applyAlignment="1">
      <alignment horizontal="left" vertical="top" wrapText="1"/>
    </xf>
    <xf numFmtId="0" fontId="5" fillId="14" borderId="3" xfId="0" applyFont="1" applyFill="1" applyBorder="1" applyAlignment="1">
      <alignment vertical="top" wrapText="1"/>
    </xf>
    <xf numFmtId="0" fontId="5" fillId="14" borderId="4" xfId="0" applyFont="1" applyFill="1" applyBorder="1" applyAlignment="1">
      <alignment vertical="top" wrapText="1"/>
    </xf>
    <xf numFmtId="0" fontId="5" fillId="14" borderId="4" xfId="0" applyFont="1" applyFill="1" applyBorder="1" applyAlignment="1">
      <alignment horizontal="right" vertical="top" wrapText="1"/>
    </xf>
    <xf numFmtId="0" fontId="5" fillId="14" borderId="5" xfId="0" applyFont="1" applyFill="1" applyBorder="1" applyAlignment="1">
      <alignment horizontal="left" vertical="top" wrapText="1"/>
    </xf>
    <xf numFmtId="0" fontId="11" fillId="14" borderId="0" xfId="0" applyFont="1" applyFill="1" applyAlignment="1">
      <alignment wrapText="1"/>
    </xf>
    <xf numFmtId="0" fontId="4" fillId="9" borderId="15" xfId="0" applyFont="1" applyFill="1" applyBorder="1" applyAlignment="1">
      <alignment horizontal="left" vertical="top" wrapText="1"/>
    </xf>
    <xf numFmtId="0" fontId="6" fillId="14" borderId="1" xfId="0" applyFont="1" applyFill="1" applyBorder="1" applyAlignment="1">
      <alignment horizontal="left" vertical="top" wrapText="1"/>
    </xf>
    <xf numFmtId="0" fontId="6" fillId="14" borderId="1" xfId="0" applyFont="1" applyFill="1" applyBorder="1" applyAlignment="1">
      <alignment horizontal="right" vertical="top" wrapText="1"/>
    </xf>
    <xf numFmtId="0" fontId="4" fillId="14" borderId="1" xfId="0" applyFont="1" applyFill="1" applyBorder="1" applyAlignment="1">
      <alignment horizontal="right" vertical="top" wrapText="1"/>
    </xf>
    <xf numFmtId="0" fontId="32" fillId="14" borderId="1" xfId="0" applyFont="1" applyFill="1" applyBorder="1" applyAlignment="1">
      <alignment horizontal="center" vertical="top" wrapText="1"/>
    </xf>
    <xf numFmtId="168" fontId="18" fillId="2" borderId="1" xfId="1" applyNumberFormat="1" applyFont="1" applyFill="1" applyBorder="1" applyAlignment="1">
      <alignment wrapText="1"/>
    </xf>
    <xf numFmtId="168" fontId="13" fillId="12" borderId="1" xfId="1" applyNumberFormat="1" applyFont="1" applyFill="1" applyBorder="1"/>
    <xf numFmtId="168" fontId="0" fillId="0" borderId="0" xfId="0" applyNumberFormat="1" applyAlignment="1">
      <alignment wrapText="1"/>
    </xf>
    <xf numFmtId="0" fontId="6" fillId="2" borderId="10" xfId="0" applyFont="1" applyFill="1" applyBorder="1" applyAlignment="1">
      <alignment vertical="top" wrapText="1"/>
    </xf>
    <xf numFmtId="0" fontId="6" fillId="2" borderId="6" xfId="0" applyFont="1" applyFill="1" applyBorder="1" applyAlignment="1">
      <alignment horizontal="left" vertical="top" wrapText="1"/>
    </xf>
    <xf numFmtId="0" fontId="5" fillId="2" borderId="6" xfId="0" applyFont="1" applyFill="1" applyBorder="1" applyAlignment="1">
      <alignment vertical="top" wrapText="1"/>
    </xf>
    <xf numFmtId="0" fontId="4" fillId="2" borderId="6" xfId="0" applyFont="1" applyFill="1" applyBorder="1" applyAlignment="1">
      <alignment horizontal="left" vertical="top" wrapText="1"/>
    </xf>
    <xf numFmtId="0" fontId="4" fillId="2" borderId="1" xfId="0" applyFont="1" applyFill="1" applyBorder="1" applyAlignment="1">
      <alignment horizontal="left" vertical="top" wrapText="1"/>
    </xf>
    <xf numFmtId="0" fontId="5" fillId="2" borderId="1" xfId="0" applyFont="1" applyFill="1" applyBorder="1" applyAlignment="1">
      <alignment vertical="top" wrapText="1"/>
    </xf>
    <xf numFmtId="0" fontId="6" fillId="2" borderId="1" xfId="0" applyFont="1" applyFill="1" applyBorder="1" applyAlignment="1">
      <alignment vertical="top" wrapText="1"/>
    </xf>
    <xf numFmtId="0" fontId="5" fillId="2" borderId="1" xfId="0" applyFont="1" applyFill="1" applyBorder="1" applyAlignment="1">
      <alignment horizontal="right" vertical="top" wrapText="1"/>
    </xf>
    <xf numFmtId="168" fontId="0" fillId="2" borderId="0" xfId="1" applyNumberFormat="1" applyFont="1" applyFill="1"/>
    <xf numFmtId="0" fontId="5" fillId="2" borderId="5" xfId="0" applyFont="1" applyFill="1" applyBorder="1" applyAlignment="1">
      <alignment horizontal="left" vertical="top" wrapText="1"/>
    </xf>
    <xf numFmtId="0" fontId="0" fillId="2" borderId="0" xfId="0" applyFill="1" applyAlignment="1">
      <alignment wrapText="1"/>
    </xf>
    <xf numFmtId="0" fontId="8"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4" fillId="12" borderId="3" xfId="0" applyFont="1" applyFill="1" applyBorder="1" applyAlignment="1">
      <alignment horizontal="left" vertical="top" wrapText="1"/>
    </xf>
    <xf numFmtId="0" fontId="4" fillId="12" borderId="4" xfId="0" applyFont="1" applyFill="1" applyBorder="1" applyAlignment="1">
      <alignment horizontal="left" vertical="top" wrapText="1"/>
    </xf>
    <xf numFmtId="0" fontId="4" fillId="12" borderId="5"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8" borderId="4" xfId="0" applyFont="1" applyFill="1" applyBorder="1" applyAlignment="1">
      <alignment horizontal="left" vertical="top" wrapText="1"/>
    </xf>
    <xf numFmtId="0" fontId="3" fillId="8" borderId="5" xfId="0" applyFont="1" applyFill="1" applyBorder="1" applyAlignment="1">
      <alignment horizontal="left" vertical="top" wrapText="1"/>
    </xf>
    <xf numFmtId="0" fontId="8" fillId="9" borderId="3" xfId="0" applyFont="1" applyFill="1" applyBorder="1" applyAlignment="1">
      <alignment horizontal="left" vertical="top" wrapText="1"/>
    </xf>
    <xf numFmtId="0" fontId="8" fillId="9" borderId="4" xfId="0" applyFont="1" applyFill="1" applyBorder="1" applyAlignment="1">
      <alignment horizontal="left" vertical="top" wrapText="1"/>
    </xf>
    <xf numFmtId="0" fontId="8" fillId="9" borderId="5"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9" xfId="0" applyFont="1" applyFill="1" applyBorder="1" applyAlignment="1">
      <alignment horizontal="left" vertical="top" wrapText="1"/>
    </xf>
    <xf numFmtId="0" fontId="3" fillId="8" borderId="12"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5" xfId="0" applyFont="1" applyFill="1" applyBorder="1" applyAlignment="1">
      <alignment horizontal="left"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4" fillId="9" borderId="9" xfId="0" applyFont="1" applyFill="1" applyBorder="1" applyAlignment="1">
      <alignment horizontal="left" vertical="top" wrapText="1"/>
    </xf>
    <xf numFmtId="0" fontId="8" fillId="9" borderId="1" xfId="0" applyFont="1" applyFill="1" applyBorder="1" applyAlignment="1">
      <alignment horizontal="left" vertical="top" wrapText="1"/>
    </xf>
    <xf numFmtId="0" fontId="10" fillId="0" borderId="10" xfId="0" applyFont="1" applyBorder="1" applyAlignment="1">
      <alignment wrapText="1"/>
    </xf>
    <xf numFmtId="0" fontId="10" fillId="0" borderId="7" xfId="0" applyFont="1" applyBorder="1" applyAlignment="1">
      <alignment wrapText="1"/>
    </xf>
    <xf numFmtId="1" fontId="16" fillId="0" borderId="7" xfId="0" applyNumberFormat="1" applyFont="1" applyBorder="1" applyAlignment="1">
      <alignment wrapText="1"/>
    </xf>
    <xf numFmtId="0" fontId="16" fillId="0" borderId="7" xfId="0" applyFont="1" applyBorder="1" applyAlignment="1">
      <alignment wrapText="1"/>
    </xf>
    <xf numFmtId="0" fontId="17" fillId="0" borderId="7" xfId="0" applyFont="1" applyBorder="1" applyAlignment="1">
      <alignment wrapText="1"/>
    </xf>
    <xf numFmtId="0" fontId="17" fillId="0" borderId="8" xfId="0" applyFont="1" applyBorder="1" applyAlignment="1">
      <alignment wrapText="1"/>
    </xf>
    <xf numFmtId="0" fontId="2" fillId="6" borderId="6" xfId="0" applyFont="1" applyFill="1" applyBorder="1" applyAlignment="1">
      <alignment horizontal="center" vertical="top" wrapText="1"/>
    </xf>
    <xf numFmtId="0" fontId="2" fillId="6" borderId="2" xfId="0" applyFont="1" applyFill="1" applyBorder="1" applyAlignment="1">
      <alignment horizontal="center" vertical="top" wrapText="1"/>
    </xf>
    <xf numFmtId="0" fontId="1" fillId="6" borderId="6" xfId="0" applyFont="1" applyFill="1" applyBorder="1" applyAlignment="1">
      <alignment horizontal="center" vertical="top" wrapText="1"/>
    </xf>
    <xf numFmtId="0" fontId="1" fillId="6" borderId="2"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4" xfId="0" applyFont="1" applyFill="1" applyBorder="1" applyAlignment="1">
      <alignment horizontal="center" vertical="top" wrapText="1"/>
    </xf>
    <xf numFmtId="0" fontId="1" fillId="6" borderId="5" xfId="0" applyFont="1" applyFill="1" applyBorder="1" applyAlignment="1">
      <alignment horizontal="center" vertical="top" wrapText="1"/>
    </xf>
    <xf numFmtId="0" fontId="5" fillId="0" borderId="6" xfId="0" applyFont="1" applyBorder="1" applyAlignment="1">
      <alignment horizontal="left" vertical="top" wrapText="1"/>
    </xf>
    <xf numFmtId="0" fontId="5" fillId="0" borderId="14" xfId="0" applyFont="1" applyBorder="1" applyAlignment="1">
      <alignment horizontal="left" vertical="top"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6" borderId="3" xfId="0" applyFont="1" applyFill="1" applyBorder="1" applyAlignment="1">
      <alignment horizontal="left" vertical="top" wrapText="1"/>
    </xf>
    <xf numFmtId="0" fontId="1" fillId="6" borderId="4"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3" xfId="0" applyFont="1" applyFill="1" applyBorder="1" applyAlignment="1">
      <alignment vertical="top" wrapText="1"/>
    </xf>
    <xf numFmtId="0" fontId="1" fillId="6" borderId="4" xfId="0" applyFont="1" applyFill="1" applyBorder="1" applyAlignment="1">
      <alignment vertical="top" wrapText="1"/>
    </xf>
    <xf numFmtId="0" fontId="1" fillId="6" borderId="5" xfId="0" applyFont="1" applyFill="1" applyBorder="1" applyAlignment="1">
      <alignment vertical="top" wrapText="1"/>
    </xf>
    <xf numFmtId="3" fontId="21" fillId="0" borderId="1" xfId="0" applyNumberFormat="1" applyFont="1" applyBorder="1" applyAlignment="1">
      <alignment horizontal="center"/>
    </xf>
    <xf numFmtId="0" fontId="21" fillId="0" borderId="1" xfId="0" applyFont="1" applyBorder="1" applyAlignment="1">
      <alignment horizontal="center"/>
    </xf>
    <xf numFmtId="0" fontId="24" fillId="0" borderId="0" xfId="0" applyFont="1" applyAlignment="1">
      <alignment horizontal="left"/>
    </xf>
    <xf numFmtId="0" fontId="21" fillId="0" borderId="6" xfId="0" applyFont="1" applyBorder="1" applyAlignment="1">
      <alignment horizontal="left" vertical="top" wrapText="1"/>
    </xf>
    <xf numFmtId="0" fontId="21" fillId="0" borderId="14" xfId="0" applyFont="1" applyBorder="1" applyAlignment="1">
      <alignment horizontal="left" vertical="top" wrapText="1"/>
    </xf>
    <xf numFmtId="0" fontId="21" fillId="0" borderId="2" xfId="0" applyFont="1" applyBorder="1" applyAlignment="1">
      <alignment horizontal="left" vertical="top" wrapText="1"/>
    </xf>
    <xf numFmtId="3" fontId="22" fillId="0" borderId="6" xfId="0" applyNumberFormat="1" applyFont="1" applyBorder="1" applyAlignment="1">
      <alignment horizontal="left" wrapText="1"/>
    </xf>
    <xf numFmtId="3" fontId="22" fillId="0" borderId="14" xfId="0" applyNumberFormat="1" applyFont="1" applyBorder="1" applyAlignment="1">
      <alignment horizontal="left" wrapText="1"/>
    </xf>
    <xf numFmtId="3" fontId="22" fillId="0" borderId="2" xfId="0" applyNumberFormat="1" applyFont="1" applyBorder="1" applyAlignment="1">
      <alignment horizontal="left" wrapText="1"/>
    </xf>
    <xf numFmtId="3" fontId="22" fillId="0" borderId="1" xfId="0" applyNumberFormat="1" applyFont="1" applyBorder="1" applyAlignment="1">
      <alignment horizontal="left" vertical="center" wrapText="1"/>
    </xf>
    <xf numFmtId="3" fontId="22" fillId="0" borderId="6" xfId="0" applyNumberFormat="1" applyFont="1" applyBorder="1" applyAlignment="1">
      <alignment horizontal="left" vertical="center" wrapText="1"/>
    </xf>
    <xf numFmtId="3" fontId="22" fillId="0" borderId="14" xfId="0" applyNumberFormat="1" applyFont="1" applyBorder="1" applyAlignment="1">
      <alignment horizontal="left" vertical="center" wrapText="1"/>
    </xf>
    <xf numFmtId="3" fontId="22" fillId="0" borderId="2" xfId="0" applyNumberFormat="1" applyFont="1" applyBorder="1" applyAlignment="1">
      <alignment horizontal="left" vertical="center" wrapText="1"/>
    </xf>
    <xf numFmtId="167" fontId="22" fillId="0" borderId="1" xfId="0" applyNumberFormat="1" applyFont="1" applyBorder="1" applyAlignment="1">
      <alignment horizontal="left" vertical="center" wrapText="1"/>
    </xf>
    <xf numFmtId="3" fontId="22" fillId="0" borderId="1" xfId="0" applyNumberFormat="1" applyFont="1" applyBorder="1" applyAlignment="1">
      <alignment horizontal="left" vertical="center"/>
    </xf>
    <xf numFmtId="3" fontId="25" fillId="0" borderId="6" xfId="0" applyNumberFormat="1" applyFont="1" applyFill="1" applyBorder="1" applyAlignment="1">
      <alignment horizontal="left" vertical="center" wrapText="1"/>
    </xf>
    <xf numFmtId="3" fontId="25" fillId="0" borderId="14" xfId="0" applyNumberFormat="1" applyFont="1" applyFill="1" applyBorder="1" applyAlignment="1">
      <alignment horizontal="left" vertical="center" wrapText="1"/>
    </xf>
    <xf numFmtId="3" fontId="25" fillId="0" borderId="2" xfId="0" applyNumberFormat="1" applyFont="1" applyFill="1" applyBorder="1" applyAlignment="1">
      <alignment horizontal="left" vertical="center" wrapText="1"/>
    </xf>
    <xf numFmtId="3" fontId="25" fillId="0" borderId="1" xfId="0" applyNumberFormat="1" applyFont="1" applyFill="1" applyBorder="1" applyAlignment="1">
      <alignment horizontal="left" vertical="center" wrapText="1"/>
    </xf>
    <xf numFmtId="3" fontId="25" fillId="0" borderId="1" xfId="0" applyNumberFormat="1" applyFont="1" applyFill="1" applyBorder="1" applyAlignment="1">
      <alignment horizontal="left" vertical="center"/>
    </xf>
    <xf numFmtId="3" fontId="21" fillId="0" borderId="3" xfId="0" applyNumberFormat="1" applyFont="1" applyBorder="1" applyAlignment="1">
      <alignment horizontal="center"/>
    </xf>
    <xf numFmtId="3" fontId="21" fillId="0" borderId="4" xfId="0" applyNumberFormat="1" applyFont="1" applyBorder="1" applyAlignment="1">
      <alignment horizontal="center"/>
    </xf>
    <xf numFmtId="3" fontId="21" fillId="0" borderId="5" xfId="0" applyNumberFormat="1" applyFont="1" applyBorder="1" applyAlignment="1">
      <alignment horizontal="center"/>
    </xf>
    <xf numFmtId="3" fontId="22" fillId="0" borderId="6" xfId="0" applyNumberFormat="1" applyFont="1" applyBorder="1" applyAlignment="1">
      <alignment horizontal="center"/>
    </xf>
    <xf numFmtId="3" fontId="22" fillId="0" borderId="14" xfId="0" applyNumberFormat="1" applyFont="1" applyBorder="1" applyAlignment="1">
      <alignment horizontal="center"/>
    </xf>
    <xf numFmtId="3" fontId="22" fillId="0" borderId="2" xfId="0" applyNumberFormat="1" applyFont="1" applyBorder="1" applyAlignment="1">
      <alignment horizontal="center"/>
    </xf>
    <xf numFmtId="0" fontId="22" fillId="0" borderId="6" xfId="0" applyFont="1" applyBorder="1" applyAlignment="1">
      <alignment horizontal="center" wrapText="1"/>
    </xf>
    <xf numFmtId="0" fontId="22" fillId="0" borderId="14" xfId="0" applyFont="1" applyBorder="1" applyAlignment="1">
      <alignment horizontal="center" wrapText="1"/>
    </xf>
    <xf numFmtId="0" fontId="22" fillId="0" borderId="2" xfId="0" applyFont="1" applyBorder="1" applyAlignment="1">
      <alignment horizontal="center" wrapText="1"/>
    </xf>
    <xf numFmtId="3" fontId="22" fillId="0" borderId="6" xfId="0" applyNumberFormat="1" applyFont="1" applyBorder="1"/>
    <xf numFmtId="3" fontId="22" fillId="0" borderId="14" xfId="0" applyNumberFormat="1" applyFont="1" applyBorder="1"/>
    <xf numFmtId="3" fontId="22" fillId="0" borderId="2" xfId="0" applyNumberFormat="1" applyFont="1" applyBorder="1"/>
  </cellXfs>
  <cellStyles count="3">
    <cellStyle name="Milliers" xfId="1" builtinId="3"/>
    <cellStyle name="Normal" xfId="0" builtinId="0"/>
    <cellStyle name="Pourcentage" xfId="2"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2"/>
  <sheetViews>
    <sheetView tabSelected="1" topLeftCell="A3" zoomScale="112" zoomScaleNormal="80" workbookViewId="0">
      <pane xSplit="1" ySplit="7" topLeftCell="B82" activePane="bottomRight" state="frozen"/>
      <selection activeCell="A3" sqref="A3"/>
      <selection pane="topRight" activeCell="B3" sqref="B3"/>
      <selection pane="bottomLeft" activeCell="A10" sqref="A10"/>
      <selection pane="bottomRight" activeCell="A81" sqref="A81"/>
    </sheetView>
  </sheetViews>
  <sheetFormatPr baseColWidth="10" defaultColWidth="11.453125" defaultRowHeight="14.5" x14ac:dyDescent="0.35"/>
  <cols>
    <col min="1" max="1" width="87.54296875" style="11" customWidth="1"/>
    <col min="2" max="2" width="36.453125" style="11" customWidth="1"/>
    <col min="3" max="3" width="19" style="11" customWidth="1"/>
    <col min="4" max="4" width="3.1796875" style="11" customWidth="1"/>
    <col min="5" max="5" width="7.81640625" style="11" customWidth="1"/>
    <col min="6" max="6" width="6.453125" style="11" customWidth="1"/>
    <col min="7" max="7" width="8.453125" style="11" customWidth="1"/>
    <col min="8" max="8" width="3" style="11" customWidth="1"/>
    <col min="9" max="9" width="4.81640625" style="11" customWidth="1"/>
    <col min="10" max="10" width="4.90625" style="11" customWidth="1"/>
    <col min="11" max="13" width="3.1796875" style="11" customWidth="1"/>
    <col min="14" max="14" width="5.90625" style="11" customWidth="1"/>
    <col min="15" max="15" width="4.54296875" style="11" customWidth="1"/>
    <col min="16" max="17" width="4.1796875" style="11" customWidth="1"/>
    <col min="18" max="18" width="4.6328125" style="11" customWidth="1"/>
    <col min="19" max="19" width="4.1796875" style="11" customWidth="1"/>
    <col min="20" max="20" width="3.1796875" style="11" customWidth="1"/>
    <col min="21" max="21" width="22.453125" style="11" customWidth="1"/>
    <col min="22" max="22" width="14.6328125" style="11" customWidth="1"/>
    <col min="23" max="23" width="21.90625" style="11" bestFit="1" customWidth="1"/>
    <col min="24" max="24" width="16.36328125" style="11" bestFit="1" customWidth="1"/>
    <col min="25" max="16384" width="11.453125" style="11"/>
  </cols>
  <sheetData>
    <row r="1" spans="1:26" s="88" customFormat="1" ht="15.5" x14ac:dyDescent="0.35">
      <c r="A1" s="85" t="s">
        <v>0</v>
      </c>
      <c r="B1" s="85" t="s">
        <v>1</v>
      </c>
      <c r="C1" s="85"/>
      <c r="D1" s="86"/>
      <c r="E1" s="87"/>
      <c r="F1" s="250"/>
      <c r="G1" s="251"/>
      <c r="H1" s="251"/>
      <c r="I1" s="251"/>
      <c r="J1" s="251"/>
      <c r="K1" s="251"/>
      <c r="L1" s="251"/>
      <c r="M1" s="251"/>
      <c r="N1" s="251"/>
      <c r="O1" s="251"/>
      <c r="P1" s="251"/>
      <c r="Q1" s="251"/>
      <c r="R1" s="251"/>
      <c r="S1" s="251"/>
      <c r="T1" s="251"/>
      <c r="U1" s="251"/>
      <c r="V1" s="251"/>
      <c r="W1" s="251"/>
      <c r="X1" s="251"/>
      <c r="Y1" s="251"/>
      <c r="Z1" s="252"/>
    </row>
    <row r="2" spans="1:26" s="88" customFormat="1" ht="31" x14ac:dyDescent="0.35">
      <c r="A2" s="85" t="s">
        <v>2</v>
      </c>
      <c r="B2" s="85" t="s">
        <v>3</v>
      </c>
      <c r="C2" s="85"/>
      <c r="D2" s="86"/>
      <c r="E2" s="89"/>
      <c r="F2" s="250" t="s">
        <v>4</v>
      </c>
      <c r="G2" s="252"/>
      <c r="H2" s="86"/>
      <c r="I2" s="86"/>
      <c r="J2" s="86"/>
      <c r="K2" s="86"/>
      <c r="L2" s="86"/>
      <c r="M2" s="86"/>
      <c r="N2" s="86"/>
      <c r="O2" s="86"/>
      <c r="P2" s="86"/>
      <c r="Q2" s="86"/>
      <c r="R2" s="86"/>
      <c r="S2" s="86"/>
      <c r="T2" s="86"/>
      <c r="U2" s="86"/>
      <c r="V2" s="86"/>
      <c r="W2" s="86"/>
      <c r="X2" s="86"/>
      <c r="Y2" s="86"/>
      <c r="Z2" s="86"/>
    </row>
    <row r="3" spans="1:26" s="88" customFormat="1" ht="15.5" x14ac:dyDescent="0.35">
      <c r="A3" s="85" t="s">
        <v>5</v>
      </c>
      <c r="B3" s="85" t="s">
        <v>6</v>
      </c>
      <c r="C3" s="85"/>
      <c r="D3" s="250"/>
      <c r="E3" s="251"/>
      <c r="F3" s="251"/>
      <c r="G3" s="251"/>
      <c r="H3" s="251"/>
      <c r="I3" s="251"/>
      <c r="J3" s="251"/>
      <c r="K3" s="251"/>
      <c r="L3" s="251"/>
      <c r="M3" s="251"/>
      <c r="N3" s="251"/>
      <c r="O3" s="251"/>
      <c r="P3" s="251"/>
      <c r="Q3" s="251"/>
      <c r="R3" s="251"/>
      <c r="S3" s="251"/>
      <c r="T3" s="251"/>
      <c r="U3" s="251"/>
      <c r="V3" s="251"/>
      <c r="W3" s="251"/>
      <c r="X3" s="251"/>
      <c r="Y3" s="251"/>
      <c r="Z3" s="252"/>
    </row>
    <row r="4" spans="1:26" s="88" customFormat="1" ht="27.5" customHeight="1" x14ac:dyDescent="0.35">
      <c r="A4" s="85" t="s">
        <v>7</v>
      </c>
      <c r="B4" s="85" t="s">
        <v>8</v>
      </c>
      <c r="C4" s="85"/>
      <c r="D4" s="86"/>
      <c r="E4" s="90"/>
      <c r="F4" s="250" t="s">
        <v>9</v>
      </c>
      <c r="G4" s="252"/>
      <c r="H4" s="250"/>
      <c r="I4" s="251"/>
      <c r="J4" s="251"/>
      <c r="K4" s="251"/>
      <c r="L4" s="251"/>
      <c r="M4" s="251"/>
      <c r="N4" s="251"/>
      <c r="O4" s="251"/>
      <c r="P4" s="251"/>
      <c r="Q4" s="251"/>
      <c r="R4" s="251"/>
      <c r="S4" s="251"/>
      <c r="T4" s="251"/>
      <c r="U4" s="251"/>
      <c r="V4" s="251"/>
      <c r="W4" s="251"/>
      <c r="X4" s="251"/>
      <c r="Y4" s="251"/>
      <c r="Z4" s="252"/>
    </row>
    <row r="5" spans="1:26" s="88" customFormat="1" ht="31" x14ac:dyDescent="0.35">
      <c r="A5" s="85" t="s">
        <v>10</v>
      </c>
      <c r="B5" s="85" t="s">
        <v>164</v>
      </c>
      <c r="C5" s="85"/>
      <c r="D5" s="250"/>
      <c r="E5" s="251"/>
      <c r="F5" s="251"/>
      <c r="G5" s="251"/>
      <c r="H5" s="251"/>
      <c r="I5" s="251"/>
      <c r="J5" s="251"/>
      <c r="K5" s="251"/>
      <c r="L5" s="251"/>
      <c r="M5" s="251"/>
      <c r="N5" s="251"/>
      <c r="O5" s="251"/>
      <c r="P5" s="251"/>
      <c r="Q5" s="251"/>
      <c r="R5" s="251"/>
      <c r="S5" s="251"/>
      <c r="T5" s="251"/>
      <c r="U5" s="251"/>
      <c r="V5" s="251"/>
      <c r="W5" s="251"/>
      <c r="X5" s="251"/>
      <c r="Y5" s="251"/>
      <c r="Z5" s="252"/>
    </row>
    <row r="6" spans="1:26" ht="15.5" x14ac:dyDescent="0.35">
      <c r="A6" s="239" t="s">
        <v>11</v>
      </c>
      <c r="B6" s="241" t="s">
        <v>12</v>
      </c>
      <c r="C6" s="241" t="s">
        <v>13</v>
      </c>
      <c r="D6" s="241"/>
      <c r="E6" s="243" t="s">
        <v>166</v>
      </c>
      <c r="F6" s="244"/>
      <c r="G6" s="245"/>
      <c r="H6" s="241"/>
      <c r="I6" s="253" t="s">
        <v>167</v>
      </c>
      <c r="J6" s="254"/>
      <c r="K6" s="255"/>
      <c r="L6" s="241"/>
      <c r="M6" s="256" t="s">
        <v>168</v>
      </c>
      <c r="N6" s="257"/>
      <c r="O6" s="258"/>
      <c r="P6" s="241"/>
      <c r="Q6" s="253" t="s">
        <v>169</v>
      </c>
      <c r="R6" s="254"/>
      <c r="S6" s="255"/>
      <c r="T6" s="241"/>
      <c r="U6" s="241" t="s">
        <v>14</v>
      </c>
      <c r="V6" s="241" t="s">
        <v>15</v>
      </c>
      <c r="W6" s="241" t="s">
        <v>16</v>
      </c>
      <c r="X6" s="241" t="s">
        <v>17</v>
      </c>
      <c r="Y6" s="241" t="s">
        <v>18</v>
      </c>
      <c r="Z6" s="241" t="s">
        <v>19</v>
      </c>
    </row>
    <row r="7" spans="1:26" s="88" customFormat="1" ht="31" x14ac:dyDescent="0.35">
      <c r="A7" s="240"/>
      <c r="B7" s="242"/>
      <c r="C7" s="242"/>
      <c r="D7" s="242"/>
      <c r="E7" s="92" t="s">
        <v>20</v>
      </c>
      <c r="F7" s="92" t="s">
        <v>21</v>
      </c>
      <c r="G7" s="92" t="s">
        <v>22</v>
      </c>
      <c r="H7" s="242"/>
      <c r="I7" s="91" t="s">
        <v>23</v>
      </c>
      <c r="J7" s="91" t="s">
        <v>24</v>
      </c>
      <c r="K7" s="91" t="s">
        <v>25</v>
      </c>
      <c r="L7" s="242"/>
      <c r="M7" s="91" t="s">
        <v>26</v>
      </c>
      <c r="N7" s="91" t="s">
        <v>27</v>
      </c>
      <c r="O7" s="91" t="s">
        <v>28</v>
      </c>
      <c r="P7" s="242"/>
      <c r="Q7" s="91" t="s">
        <v>29</v>
      </c>
      <c r="R7" s="91" t="s">
        <v>30</v>
      </c>
      <c r="S7" s="91" t="s">
        <v>31</v>
      </c>
      <c r="T7" s="242"/>
      <c r="U7" s="242"/>
      <c r="V7" s="242"/>
      <c r="W7" s="242"/>
      <c r="X7" s="242"/>
      <c r="Y7" s="242"/>
      <c r="Z7" s="242"/>
    </row>
    <row r="8" spans="1:26" ht="15" x14ac:dyDescent="0.35">
      <c r="A8" s="216" t="s">
        <v>32</v>
      </c>
      <c r="B8" s="217"/>
      <c r="C8" s="217"/>
      <c r="D8" s="217"/>
      <c r="E8" s="217"/>
      <c r="F8" s="217"/>
      <c r="G8" s="217"/>
      <c r="H8" s="217"/>
      <c r="I8" s="217"/>
      <c r="J8" s="217"/>
      <c r="K8" s="217"/>
      <c r="L8" s="217"/>
      <c r="M8" s="217"/>
      <c r="N8" s="217"/>
      <c r="O8" s="217"/>
      <c r="P8" s="217"/>
      <c r="Q8" s="217"/>
      <c r="R8" s="217"/>
      <c r="S8" s="217"/>
      <c r="T8" s="217"/>
      <c r="U8" s="217"/>
      <c r="V8" s="217"/>
      <c r="W8" s="217"/>
      <c r="X8" s="217"/>
      <c r="Y8" s="217"/>
      <c r="Z8" s="218"/>
    </row>
    <row r="9" spans="1:26" ht="46" customHeight="1" x14ac:dyDescent="0.35">
      <c r="A9" s="93" t="s">
        <v>33</v>
      </c>
      <c r="B9" s="1"/>
      <c r="C9" s="1"/>
      <c r="D9" s="1"/>
      <c r="E9" s="1"/>
      <c r="F9" s="1"/>
      <c r="G9" s="1"/>
      <c r="H9" s="1"/>
      <c r="I9" s="1"/>
      <c r="J9" s="1"/>
      <c r="K9" s="1"/>
      <c r="L9" s="1"/>
      <c r="M9" s="1"/>
      <c r="N9" s="1"/>
      <c r="O9" s="1"/>
      <c r="P9" s="1"/>
      <c r="Q9" s="1"/>
      <c r="R9" s="1"/>
      <c r="S9" s="1"/>
      <c r="T9" s="1"/>
      <c r="U9" s="1"/>
      <c r="V9" s="1"/>
      <c r="W9" s="1"/>
      <c r="X9" s="1"/>
      <c r="Y9" s="1" t="s">
        <v>41</v>
      </c>
      <c r="Z9" s="1" t="s">
        <v>36</v>
      </c>
    </row>
    <row r="10" spans="1:26" ht="77.5" x14ac:dyDescent="0.35">
      <c r="A10" s="246" t="s">
        <v>34</v>
      </c>
      <c r="B10" s="1" t="s">
        <v>165</v>
      </c>
      <c r="C10" s="115" t="s">
        <v>39</v>
      </c>
      <c r="D10" s="74"/>
      <c r="E10" s="95"/>
      <c r="F10" s="95"/>
      <c r="G10" s="165"/>
      <c r="H10" s="74"/>
      <c r="I10" s="95"/>
      <c r="J10" s="95"/>
      <c r="K10" s="95"/>
      <c r="L10" s="74"/>
      <c r="M10" s="74"/>
      <c r="N10" s="74"/>
      <c r="O10" s="74"/>
      <c r="P10" s="74"/>
      <c r="Q10" s="74"/>
      <c r="R10" s="74"/>
      <c r="S10" s="74"/>
      <c r="T10" s="74"/>
      <c r="U10" s="248" t="s">
        <v>170</v>
      </c>
      <c r="V10" s="1" t="s">
        <v>35</v>
      </c>
      <c r="W10" s="1">
        <v>10000</v>
      </c>
      <c r="X10" s="99">
        <v>0</v>
      </c>
      <c r="Y10" s="99"/>
      <c r="Z10" s="99"/>
    </row>
    <row r="11" spans="1:26" ht="68" customHeight="1" x14ac:dyDescent="0.35">
      <c r="A11" s="247"/>
      <c r="B11" s="51" t="s">
        <v>390</v>
      </c>
      <c r="C11" s="115" t="s">
        <v>39</v>
      </c>
      <c r="D11" s="74"/>
      <c r="E11" s="95"/>
      <c r="F11" s="95"/>
      <c r="G11" s="165"/>
      <c r="H11" s="74"/>
      <c r="I11" s="196"/>
      <c r="J11" s="95"/>
      <c r="K11" s="95"/>
      <c r="L11" s="74"/>
      <c r="M11" s="74"/>
      <c r="N11" s="74"/>
      <c r="O11" s="74"/>
      <c r="P11" s="74"/>
      <c r="Q11" s="74"/>
      <c r="R11" s="74"/>
      <c r="S11" s="74"/>
      <c r="T11" s="74"/>
      <c r="U11" s="249"/>
      <c r="V11" s="1" t="s">
        <v>35</v>
      </c>
      <c r="W11" s="1">
        <v>10000</v>
      </c>
      <c r="X11" s="99">
        <v>0</v>
      </c>
      <c r="Y11" s="99"/>
      <c r="Z11" s="99"/>
    </row>
    <row r="12" spans="1:26" ht="68" customHeight="1" x14ac:dyDescent="0.35">
      <c r="A12" s="247"/>
      <c r="B12" s="51" t="s">
        <v>386</v>
      </c>
      <c r="C12" s="115" t="s">
        <v>39</v>
      </c>
      <c r="D12" s="74"/>
      <c r="E12" s="165"/>
      <c r="F12" s="165"/>
      <c r="G12" s="165"/>
      <c r="H12" s="74"/>
      <c r="I12" s="95"/>
      <c r="J12" s="95"/>
      <c r="K12" s="95"/>
      <c r="L12" s="74"/>
      <c r="M12" s="74"/>
      <c r="N12" s="74"/>
      <c r="O12" s="74"/>
      <c r="P12" s="74"/>
      <c r="Q12" s="74"/>
      <c r="R12" s="74"/>
      <c r="S12" s="74"/>
      <c r="T12" s="74"/>
      <c r="U12" s="116" t="s">
        <v>253</v>
      </c>
      <c r="V12" s="1" t="s">
        <v>35</v>
      </c>
      <c r="W12" s="1">
        <v>30000</v>
      </c>
      <c r="X12" s="99">
        <v>0</v>
      </c>
      <c r="Y12" s="99"/>
      <c r="Z12" s="99"/>
    </row>
    <row r="13" spans="1:26" ht="20" x14ac:dyDescent="0.35">
      <c r="A13" s="6"/>
      <c r="B13" s="7"/>
      <c r="C13" s="7"/>
      <c r="D13" s="22"/>
      <c r="E13" s="2"/>
      <c r="F13" s="43"/>
      <c r="G13" s="2"/>
      <c r="H13" s="13"/>
      <c r="I13" s="2"/>
      <c r="J13" s="2"/>
      <c r="K13" s="95"/>
      <c r="L13" s="13"/>
      <c r="M13" s="2"/>
      <c r="N13" s="2"/>
      <c r="O13" s="2"/>
      <c r="P13" s="13"/>
      <c r="Q13" s="95"/>
      <c r="R13" s="95"/>
      <c r="S13" s="96"/>
      <c r="T13" s="13"/>
      <c r="U13" s="2"/>
      <c r="V13" s="2"/>
      <c r="W13" s="64">
        <f>+W10+W11+W12</f>
        <v>50000</v>
      </c>
      <c r="X13" s="2"/>
      <c r="Y13" s="2"/>
      <c r="Z13" s="2"/>
    </row>
    <row r="14" spans="1:26" ht="15.5" x14ac:dyDescent="0.35">
      <c r="A14" s="225" t="s">
        <v>37</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7"/>
    </row>
    <row r="15" spans="1:26" ht="139.5" x14ac:dyDescent="0.35">
      <c r="A15" s="2" t="s">
        <v>172</v>
      </c>
      <c r="B15" s="2" t="s">
        <v>38</v>
      </c>
      <c r="C15" s="2" t="s">
        <v>39</v>
      </c>
      <c r="D15" s="13"/>
      <c r="E15" s="2"/>
      <c r="F15" s="2"/>
      <c r="G15" s="2"/>
      <c r="H15" s="13"/>
      <c r="I15" s="165"/>
      <c r="J15" s="165"/>
      <c r="K15" s="103"/>
      <c r="L15" s="13"/>
      <c r="M15" s="2"/>
      <c r="N15" s="2"/>
      <c r="O15" s="2"/>
      <c r="P15" s="13"/>
      <c r="Q15" s="95"/>
      <c r="R15" s="103"/>
      <c r="S15" s="95"/>
      <c r="T15" s="13"/>
      <c r="U15" s="2" t="s">
        <v>171</v>
      </c>
      <c r="V15" s="2" t="s">
        <v>40</v>
      </c>
      <c r="W15" s="1">
        <v>2000</v>
      </c>
      <c r="X15" s="2">
        <v>0</v>
      </c>
      <c r="Y15" s="2" t="s">
        <v>41</v>
      </c>
      <c r="Z15" s="2" t="s">
        <v>36</v>
      </c>
    </row>
    <row r="16" spans="1:26" ht="77.5" x14ac:dyDescent="0.35">
      <c r="A16" s="2" t="s">
        <v>173</v>
      </c>
      <c r="B16" s="2" t="s">
        <v>42</v>
      </c>
      <c r="C16" s="2" t="s">
        <v>39</v>
      </c>
      <c r="D16" s="13"/>
      <c r="E16" s="2"/>
      <c r="F16" s="2"/>
      <c r="G16" s="2"/>
      <c r="H16" s="13"/>
      <c r="I16" s="165"/>
      <c r="J16" s="165"/>
      <c r="K16" s="165"/>
      <c r="L16" s="13"/>
      <c r="M16" s="2"/>
      <c r="N16" s="2"/>
      <c r="O16" s="13"/>
      <c r="P16" s="13"/>
      <c r="Q16" s="103"/>
      <c r="R16" s="103"/>
      <c r="S16" s="103"/>
      <c r="T16" s="13"/>
      <c r="U16" s="2" t="s">
        <v>175</v>
      </c>
      <c r="V16" s="2" t="s">
        <v>40</v>
      </c>
      <c r="W16" s="1">
        <v>40000</v>
      </c>
      <c r="X16" s="2">
        <v>0</v>
      </c>
      <c r="Y16" s="2" t="s">
        <v>41</v>
      </c>
      <c r="Z16" s="2" t="s">
        <v>36</v>
      </c>
    </row>
    <row r="17" spans="1:28" ht="124" x14ac:dyDescent="0.35">
      <c r="A17" s="2" t="s">
        <v>174</v>
      </c>
      <c r="B17" s="2" t="s">
        <v>43</v>
      </c>
      <c r="C17" s="2" t="s">
        <v>39</v>
      </c>
      <c r="D17" s="13"/>
      <c r="E17" s="2"/>
      <c r="F17" s="2"/>
      <c r="G17" s="2"/>
      <c r="H17" s="13"/>
      <c r="I17" s="2"/>
      <c r="J17" s="2"/>
      <c r="K17" s="2"/>
      <c r="L17" s="13"/>
      <c r="M17" s="104"/>
      <c r="N17" s="103"/>
      <c r="O17" s="95"/>
      <c r="P17" s="13"/>
      <c r="Q17" s="2"/>
      <c r="R17" s="2"/>
      <c r="S17" s="2"/>
      <c r="T17" s="13"/>
      <c r="U17" s="2" t="s">
        <v>176</v>
      </c>
      <c r="V17" s="2" t="s">
        <v>40</v>
      </c>
      <c r="W17" s="1">
        <v>1000</v>
      </c>
      <c r="X17" s="2">
        <v>0</v>
      </c>
      <c r="Y17" s="2" t="s">
        <v>41</v>
      </c>
      <c r="Z17" s="2" t="s">
        <v>36</v>
      </c>
    </row>
    <row r="18" spans="1:28" ht="232.5" x14ac:dyDescent="0.35">
      <c r="A18" s="2" t="s">
        <v>350</v>
      </c>
      <c r="B18" s="2" t="s">
        <v>44</v>
      </c>
      <c r="C18" s="2" t="s">
        <v>39</v>
      </c>
      <c r="D18" s="13"/>
      <c r="E18" s="2"/>
      <c r="F18" s="43"/>
      <c r="G18" s="2"/>
      <c r="H18" s="13"/>
      <c r="I18" s="2"/>
      <c r="J18" s="182"/>
      <c r="K18" s="103"/>
      <c r="L18" s="25"/>
      <c r="M18" s="2"/>
      <c r="N18" s="2"/>
      <c r="O18" s="24"/>
      <c r="P18" s="24"/>
      <c r="Q18" s="103"/>
      <c r="R18" s="103"/>
      <c r="S18" s="165"/>
      <c r="T18" s="25"/>
      <c r="U18" s="2" t="s">
        <v>45</v>
      </c>
      <c r="V18" s="2" t="s">
        <v>46</v>
      </c>
      <c r="W18" s="1">
        <v>65000</v>
      </c>
      <c r="X18" s="2">
        <v>0</v>
      </c>
      <c r="Y18" s="2"/>
      <c r="Z18" s="2"/>
      <c r="AB18" s="11">
        <f>105000*601</f>
        <v>63105000</v>
      </c>
    </row>
    <row r="19" spans="1:28" ht="20" x14ac:dyDescent="0.35">
      <c r="A19" s="6"/>
      <c r="B19" s="7"/>
      <c r="C19" s="7"/>
      <c r="D19" s="22"/>
      <c r="E19" s="7"/>
      <c r="F19" s="62"/>
      <c r="G19" s="7"/>
      <c r="H19" s="22"/>
      <c r="I19" s="7"/>
      <c r="J19" s="7"/>
      <c r="K19" s="95"/>
      <c r="L19" s="25"/>
      <c r="M19" s="7"/>
      <c r="N19" s="7"/>
      <c r="O19" s="7"/>
      <c r="P19" s="22"/>
      <c r="Q19" s="95"/>
      <c r="R19" s="95"/>
      <c r="S19" s="96"/>
      <c r="T19" s="22"/>
      <c r="U19" s="7"/>
      <c r="V19" s="7"/>
      <c r="W19" s="63">
        <f>W15+W16+W17+W18</f>
        <v>108000</v>
      </c>
      <c r="X19" s="7"/>
      <c r="Y19" s="7"/>
      <c r="Z19" s="26"/>
    </row>
    <row r="20" spans="1:28" ht="15.5" x14ac:dyDescent="0.35">
      <c r="A20" s="213" t="s">
        <v>47</v>
      </c>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5"/>
    </row>
    <row r="21" spans="1:28" ht="102" customHeight="1" x14ac:dyDescent="0.35">
      <c r="A21" s="42" t="s">
        <v>48</v>
      </c>
      <c r="B21" s="1" t="s">
        <v>177</v>
      </c>
      <c r="C21" s="1" t="s">
        <v>49</v>
      </c>
      <c r="D21" s="47"/>
      <c r="E21" s="42"/>
      <c r="F21" s="42"/>
      <c r="G21" s="42"/>
      <c r="H21" s="14"/>
      <c r="I21" s="94"/>
      <c r="J21" s="94"/>
      <c r="K21" s="94"/>
      <c r="L21" s="14"/>
      <c r="M21" s="94"/>
      <c r="N21" s="94"/>
      <c r="O21" s="94"/>
      <c r="P21" s="14"/>
      <c r="Q21" s="94"/>
      <c r="R21" s="94"/>
      <c r="S21" s="94"/>
      <c r="T21" s="48"/>
      <c r="U21" s="1" t="s">
        <v>178</v>
      </c>
      <c r="V21" s="3" t="s">
        <v>179</v>
      </c>
      <c r="W21" s="1">
        <v>10000</v>
      </c>
      <c r="X21" s="1">
        <v>0</v>
      </c>
      <c r="Y21" s="1">
        <v>0</v>
      </c>
      <c r="Z21" s="1" t="s">
        <v>36</v>
      </c>
    </row>
    <row r="22" spans="1:28" ht="67" customHeight="1" x14ac:dyDescent="0.35">
      <c r="A22" s="4" t="s">
        <v>50</v>
      </c>
      <c r="B22" s="1" t="s">
        <v>180</v>
      </c>
      <c r="C22" s="8" t="s">
        <v>39</v>
      </c>
      <c r="D22" s="14"/>
      <c r="E22" s="108"/>
      <c r="F22" s="108"/>
      <c r="G22" s="108"/>
      <c r="H22" s="14"/>
      <c r="I22" s="108"/>
      <c r="J22" s="108"/>
      <c r="K22" s="108"/>
      <c r="L22" s="14"/>
      <c r="M22" s="108"/>
      <c r="N22" s="108"/>
      <c r="O22" s="108"/>
      <c r="P22" s="14"/>
      <c r="Q22" s="108"/>
      <c r="R22" s="108"/>
      <c r="S22" s="108"/>
      <c r="T22" s="14"/>
      <c r="U22" s="1" t="s">
        <v>51</v>
      </c>
      <c r="V22" s="1" t="s">
        <v>181</v>
      </c>
      <c r="W22" s="1">
        <v>13350</v>
      </c>
      <c r="X22" s="15"/>
      <c r="Y22" s="1" t="s">
        <v>41</v>
      </c>
      <c r="Z22" s="16" t="s">
        <v>36</v>
      </c>
    </row>
    <row r="23" spans="1:28" ht="20" x14ac:dyDescent="0.35">
      <c r="A23" s="4"/>
      <c r="B23" s="8"/>
      <c r="C23" s="8"/>
      <c r="D23" s="14"/>
      <c r="E23" s="97"/>
      <c r="F23" s="97"/>
      <c r="G23" s="97"/>
      <c r="H23" s="14"/>
      <c r="I23" s="97"/>
      <c r="J23" s="97"/>
      <c r="K23" s="97"/>
      <c r="L23" s="14"/>
      <c r="M23" s="97"/>
      <c r="N23" s="97"/>
      <c r="O23" s="97"/>
      <c r="P23" s="14"/>
      <c r="Q23" s="97"/>
      <c r="R23" s="97"/>
      <c r="S23" s="97"/>
      <c r="T23" s="14"/>
      <c r="U23" s="8"/>
      <c r="V23" s="8"/>
      <c r="W23" s="63">
        <f>W21+W22</f>
        <v>23350</v>
      </c>
      <c r="X23" s="21"/>
      <c r="Y23" s="8"/>
      <c r="Z23" s="16"/>
    </row>
    <row r="24" spans="1:28" ht="15" x14ac:dyDescent="0.35">
      <c r="A24" s="216" t="s">
        <v>52</v>
      </c>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8"/>
    </row>
    <row r="25" spans="1:28" ht="15.5" x14ac:dyDescent="0.35">
      <c r="A25" s="225" t="s">
        <v>53</v>
      </c>
      <c r="B25" s="226"/>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7"/>
    </row>
    <row r="26" spans="1:28" ht="31" x14ac:dyDescent="0.35">
      <c r="A26" s="2" t="s">
        <v>182</v>
      </c>
      <c r="B26" s="5" t="s">
        <v>54</v>
      </c>
      <c r="C26" s="1" t="s">
        <v>39</v>
      </c>
      <c r="D26" s="13"/>
      <c r="E26" s="108"/>
      <c r="F26" s="108"/>
      <c r="G26" s="108"/>
      <c r="H26" s="13"/>
      <c r="I26" s="108"/>
      <c r="J26" s="108"/>
      <c r="K26" s="108"/>
      <c r="L26" s="13"/>
      <c r="M26" s="108"/>
      <c r="N26" s="108"/>
      <c r="O26" s="108"/>
      <c r="P26" s="13"/>
      <c r="Q26" s="108"/>
      <c r="R26" s="108"/>
      <c r="S26" s="108"/>
      <c r="T26" s="13"/>
      <c r="U26" s="1" t="s">
        <v>183</v>
      </c>
      <c r="V26" s="2" t="s">
        <v>55</v>
      </c>
      <c r="W26" s="15">
        <f>2451400*12/600</f>
        <v>49028</v>
      </c>
      <c r="X26" s="15">
        <v>0</v>
      </c>
      <c r="Y26" s="2" t="s">
        <v>41</v>
      </c>
      <c r="Z26" s="17" t="s">
        <v>36</v>
      </c>
    </row>
    <row r="27" spans="1:28" ht="60" customHeight="1" x14ac:dyDescent="0.35">
      <c r="A27" s="2" t="s">
        <v>359</v>
      </c>
      <c r="B27" s="10" t="s">
        <v>336</v>
      </c>
      <c r="C27" s="1" t="s">
        <v>39</v>
      </c>
      <c r="D27" s="13"/>
      <c r="E27" s="10"/>
      <c r="F27" s="10"/>
      <c r="G27" s="10"/>
      <c r="H27" s="13"/>
      <c r="I27" s="10"/>
      <c r="J27" s="10"/>
      <c r="K27" s="106"/>
      <c r="L27" s="13"/>
      <c r="M27" s="10"/>
      <c r="N27" s="10"/>
      <c r="O27" s="10"/>
      <c r="P27" s="13"/>
      <c r="Q27" s="10"/>
      <c r="R27" s="10"/>
      <c r="S27" s="10"/>
      <c r="T27" s="13"/>
      <c r="U27" s="2" t="s">
        <v>56</v>
      </c>
      <c r="V27" s="2" t="s">
        <v>57</v>
      </c>
      <c r="W27" s="15">
        <v>15000</v>
      </c>
      <c r="X27" s="15">
        <v>0</v>
      </c>
      <c r="Y27" s="2" t="s">
        <v>41</v>
      </c>
      <c r="Z27" s="17" t="s">
        <v>36</v>
      </c>
    </row>
    <row r="28" spans="1:28" ht="15.5" x14ac:dyDescent="0.35">
      <c r="A28" s="225" t="s">
        <v>58</v>
      </c>
      <c r="B28" s="226"/>
      <c r="C28" s="226"/>
      <c r="D28" s="226"/>
      <c r="E28" s="226"/>
      <c r="F28" s="226"/>
      <c r="G28" s="226"/>
      <c r="H28" s="226"/>
      <c r="I28" s="226"/>
      <c r="J28" s="226"/>
      <c r="K28" s="226"/>
      <c r="L28" s="226"/>
      <c r="M28" s="226"/>
      <c r="N28" s="226"/>
      <c r="O28" s="226"/>
      <c r="P28" s="226"/>
      <c r="Q28" s="226"/>
      <c r="R28" s="226"/>
      <c r="S28" s="226"/>
      <c r="T28" s="226"/>
      <c r="U28" s="226"/>
      <c r="V28" s="226"/>
      <c r="W28" s="226"/>
      <c r="X28" s="226"/>
      <c r="Y28" s="226"/>
      <c r="Z28" s="227"/>
    </row>
    <row r="29" spans="1:28" ht="78.5" customHeight="1" x14ac:dyDescent="0.35">
      <c r="A29" s="2" t="s">
        <v>185</v>
      </c>
      <c r="B29" s="9" t="s">
        <v>184</v>
      </c>
      <c r="C29" s="1" t="s">
        <v>39</v>
      </c>
      <c r="D29" s="44"/>
      <c r="E29" s="106"/>
      <c r="F29" s="106"/>
      <c r="G29" s="106"/>
      <c r="H29" s="44"/>
      <c r="I29" s="106"/>
      <c r="J29" s="106"/>
      <c r="K29" s="106"/>
      <c r="L29" s="44"/>
      <c r="M29" s="10"/>
      <c r="N29" s="10"/>
      <c r="O29" s="10"/>
      <c r="P29" s="46"/>
      <c r="Q29" s="10"/>
      <c r="R29" s="10"/>
      <c r="S29" s="10"/>
      <c r="T29" s="44"/>
      <c r="U29" s="2" t="s">
        <v>59</v>
      </c>
      <c r="V29" s="2" t="s">
        <v>60</v>
      </c>
      <c r="W29" s="15">
        <v>8920</v>
      </c>
      <c r="X29" s="169">
        <v>51142</v>
      </c>
      <c r="Y29" s="2" t="s">
        <v>41</v>
      </c>
      <c r="Z29" s="17" t="s">
        <v>36</v>
      </c>
    </row>
    <row r="30" spans="1:28" ht="78.5" customHeight="1" x14ac:dyDescent="0.35">
      <c r="A30" s="182" t="s">
        <v>360</v>
      </c>
      <c r="B30" s="29" t="s">
        <v>364</v>
      </c>
      <c r="C30" s="1" t="s">
        <v>39</v>
      </c>
      <c r="D30" s="179"/>
      <c r="E30" s="10"/>
      <c r="F30" s="10"/>
      <c r="G30" s="10"/>
      <c r="H30" s="179"/>
      <c r="I30" s="10"/>
      <c r="J30" s="10"/>
      <c r="K30" s="10"/>
      <c r="L30" s="179"/>
      <c r="M30" s="10"/>
      <c r="N30" s="10"/>
      <c r="O30" s="10"/>
      <c r="P30" s="106"/>
      <c r="Q30" s="106"/>
      <c r="R30" s="106"/>
      <c r="S30" s="106"/>
      <c r="T30" s="106"/>
      <c r="U30" s="26" t="s">
        <v>367</v>
      </c>
      <c r="V30" s="2" t="s">
        <v>371</v>
      </c>
      <c r="W30" s="15">
        <v>1000</v>
      </c>
      <c r="X30" s="1">
        <v>0</v>
      </c>
      <c r="Y30" s="2" t="s">
        <v>41</v>
      </c>
      <c r="Z30" s="17" t="s">
        <v>36</v>
      </c>
    </row>
    <row r="31" spans="1:28" ht="78.5" customHeight="1" x14ac:dyDescent="0.35">
      <c r="A31" s="182" t="s">
        <v>361</v>
      </c>
      <c r="B31" s="29" t="s">
        <v>365</v>
      </c>
      <c r="C31" s="1" t="s">
        <v>39</v>
      </c>
      <c r="D31" s="179"/>
      <c r="E31" s="183"/>
      <c r="F31" s="10"/>
      <c r="G31" s="10"/>
      <c r="H31" s="106"/>
      <c r="I31" s="10"/>
      <c r="J31" s="10"/>
      <c r="K31" s="10"/>
      <c r="L31" s="179"/>
      <c r="M31" s="183"/>
      <c r="N31" s="10"/>
      <c r="O31" s="10"/>
      <c r="P31" s="106"/>
      <c r="Q31" s="106"/>
      <c r="R31" s="106"/>
      <c r="S31" s="106"/>
      <c r="T31" s="181"/>
      <c r="U31" s="26" t="s">
        <v>368</v>
      </c>
      <c r="V31" s="2" t="s">
        <v>372</v>
      </c>
      <c r="W31" s="15">
        <v>1500</v>
      </c>
      <c r="X31" s="1">
        <v>0</v>
      </c>
      <c r="Y31" s="2" t="s">
        <v>41</v>
      </c>
      <c r="Z31" s="17" t="s">
        <v>36</v>
      </c>
    </row>
    <row r="32" spans="1:28" ht="78.5" customHeight="1" x14ac:dyDescent="0.35">
      <c r="A32" s="182" t="s">
        <v>362</v>
      </c>
      <c r="B32" s="29" t="s">
        <v>366</v>
      </c>
      <c r="C32" s="1" t="s">
        <v>39</v>
      </c>
      <c r="D32" s="179"/>
      <c r="E32" s="10"/>
      <c r="F32" s="10"/>
      <c r="G32" s="10"/>
      <c r="H32" s="106"/>
      <c r="I32" s="183"/>
      <c r="J32" s="183"/>
      <c r="K32" s="10"/>
      <c r="L32" s="106"/>
      <c r="M32" s="183"/>
      <c r="N32" s="10"/>
      <c r="O32" s="10"/>
      <c r="P32" s="180"/>
      <c r="Q32" s="10"/>
      <c r="R32" s="180"/>
      <c r="S32" s="106"/>
      <c r="T32" s="181"/>
      <c r="U32" s="26" t="s">
        <v>373</v>
      </c>
      <c r="V32" s="2" t="s">
        <v>374</v>
      </c>
      <c r="W32" s="15">
        <v>1000</v>
      </c>
      <c r="X32" s="1">
        <v>0</v>
      </c>
      <c r="Y32" s="2" t="s">
        <v>41</v>
      </c>
      <c r="Z32" s="17" t="s">
        <v>36</v>
      </c>
    </row>
    <row r="33" spans="1:26" ht="78.5" customHeight="1" x14ac:dyDescent="0.35">
      <c r="A33" s="182" t="s">
        <v>387</v>
      </c>
      <c r="B33" s="29" t="s">
        <v>366</v>
      </c>
      <c r="C33" s="1" t="s">
        <v>39</v>
      </c>
      <c r="D33" s="179"/>
      <c r="E33" s="183"/>
      <c r="F33" s="10"/>
      <c r="G33" s="10"/>
      <c r="H33" s="179"/>
      <c r="I33" s="183"/>
      <c r="J33" s="183"/>
      <c r="K33" s="10"/>
      <c r="L33" s="106"/>
      <c r="M33" s="183"/>
      <c r="N33" s="10"/>
      <c r="O33" s="10"/>
      <c r="P33" s="180"/>
      <c r="Q33" s="106"/>
      <c r="R33" s="180"/>
      <c r="S33" s="106"/>
      <c r="T33" s="181"/>
      <c r="U33" s="26" t="s">
        <v>369</v>
      </c>
      <c r="V33" s="2" t="s">
        <v>375</v>
      </c>
      <c r="W33" s="15">
        <v>1500</v>
      </c>
      <c r="X33" s="1">
        <v>0</v>
      </c>
      <c r="Y33" s="2" t="s">
        <v>41</v>
      </c>
      <c r="Z33" s="17" t="s">
        <v>36</v>
      </c>
    </row>
    <row r="34" spans="1:26" ht="78.5" customHeight="1" x14ac:dyDescent="0.35">
      <c r="A34" s="182" t="s">
        <v>363</v>
      </c>
      <c r="B34" s="29" t="s">
        <v>366</v>
      </c>
      <c r="C34" s="1" t="s">
        <v>39</v>
      </c>
      <c r="D34" s="179"/>
      <c r="E34" s="183"/>
      <c r="F34" s="10"/>
      <c r="G34" s="10"/>
      <c r="H34" s="179"/>
      <c r="I34" s="183"/>
      <c r="J34" s="183"/>
      <c r="K34" s="10"/>
      <c r="L34" s="106"/>
      <c r="M34" s="183"/>
      <c r="N34" s="10"/>
      <c r="O34" s="183"/>
      <c r="P34" s="106"/>
      <c r="Q34" s="106"/>
      <c r="R34" s="180"/>
      <c r="S34" s="106"/>
      <c r="T34" s="180"/>
      <c r="U34" s="26" t="s">
        <v>370</v>
      </c>
      <c r="V34" s="2" t="s">
        <v>376</v>
      </c>
      <c r="W34" s="15">
        <v>500</v>
      </c>
      <c r="X34" s="1">
        <v>0</v>
      </c>
      <c r="Y34" s="2" t="s">
        <v>41</v>
      </c>
      <c r="Z34" s="17" t="s">
        <v>36</v>
      </c>
    </row>
    <row r="35" spans="1:26" ht="20" x14ac:dyDescent="0.35">
      <c r="A35" s="6"/>
      <c r="B35" s="228"/>
      <c r="C35" s="229"/>
      <c r="D35" s="229"/>
      <c r="E35" s="229"/>
      <c r="F35" s="229"/>
      <c r="G35" s="229"/>
      <c r="H35" s="229"/>
      <c r="I35" s="229"/>
      <c r="J35" s="229"/>
      <c r="K35" s="229"/>
      <c r="L35" s="229"/>
      <c r="M35" s="229"/>
      <c r="N35" s="229"/>
      <c r="O35" s="229"/>
      <c r="P35" s="229"/>
      <c r="Q35" s="229"/>
      <c r="R35" s="229"/>
      <c r="S35" s="229"/>
      <c r="T35" s="230"/>
      <c r="U35" s="26"/>
      <c r="V35" s="2"/>
      <c r="W35" s="65">
        <f>W26+W27+W29+W30+W31+W32+W33+W34</f>
        <v>78448</v>
      </c>
      <c r="X35" s="21"/>
      <c r="Y35" s="7"/>
      <c r="Z35" s="16"/>
    </row>
    <row r="36" spans="1:26" ht="16.25" customHeight="1" x14ac:dyDescent="0.35">
      <c r="A36" s="225" t="s">
        <v>61</v>
      </c>
      <c r="B36" s="226"/>
      <c r="C36" s="226"/>
      <c r="D36" s="231"/>
      <c r="E36" s="231"/>
      <c r="F36" s="231"/>
      <c r="G36" s="231"/>
      <c r="H36" s="231"/>
      <c r="I36" s="231"/>
      <c r="J36" s="231"/>
      <c r="K36" s="231"/>
      <c r="L36" s="231"/>
      <c r="M36" s="231"/>
      <c r="N36" s="231"/>
      <c r="O36" s="231"/>
      <c r="P36" s="231"/>
      <c r="Q36" s="231"/>
      <c r="R36" s="231"/>
      <c r="S36" s="231"/>
      <c r="T36" s="231"/>
      <c r="U36" s="226"/>
      <c r="V36" s="226"/>
      <c r="W36" s="226"/>
      <c r="X36" s="226"/>
      <c r="Y36" s="226"/>
      <c r="Z36" s="227"/>
    </row>
    <row r="37" spans="1:26" ht="49.5" customHeight="1" x14ac:dyDescent="0.35">
      <c r="A37" s="42" t="s">
        <v>186</v>
      </c>
      <c r="B37" s="2" t="s">
        <v>187</v>
      </c>
      <c r="C37" s="1" t="s">
        <v>39</v>
      </c>
      <c r="D37" s="13"/>
      <c r="E37" s="107"/>
      <c r="F37" s="107"/>
      <c r="G37" s="107"/>
      <c r="H37" s="13"/>
      <c r="I37" s="10"/>
      <c r="J37" s="10"/>
      <c r="K37" s="10"/>
      <c r="L37" s="13"/>
      <c r="M37" s="13"/>
      <c r="N37" s="13"/>
      <c r="O37" s="13"/>
      <c r="P37" s="13"/>
      <c r="Q37" s="13"/>
      <c r="R37" s="13"/>
      <c r="S37" s="13"/>
      <c r="T37" s="13"/>
      <c r="U37" s="2" t="s">
        <v>62</v>
      </c>
      <c r="V37" s="2" t="s">
        <v>63</v>
      </c>
      <c r="W37" s="65">
        <v>10000</v>
      </c>
      <c r="X37" s="15">
        <v>0</v>
      </c>
      <c r="Y37" s="2" t="s">
        <v>41</v>
      </c>
      <c r="Z37" s="17" t="s">
        <v>36</v>
      </c>
    </row>
    <row r="38" spans="1:26" ht="49.5" customHeight="1" x14ac:dyDescent="0.35">
      <c r="A38" s="42"/>
      <c r="B38" s="2"/>
      <c r="C38" s="1"/>
      <c r="D38" s="13"/>
      <c r="E38" s="107"/>
      <c r="F38" s="107"/>
      <c r="G38" s="107"/>
      <c r="H38" s="13"/>
      <c r="I38" s="10"/>
      <c r="J38" s="10"/>
      <c r="K38" s="10"/>
      <c r="L38" s="13"/>
      <c r="M38" s="10"/>
      <c r="N38" s="10"/>
      <c r="O38" s="10"/>
      <c r="P38" s="13"/>
      <c r="Q38" s="10"/>
      <c r="R38" s="10"/>
      <c r="S38" s="10"/>
      <c r="T38" s="13"/>
      <c r="U38" s="2"/>
      <c r="V38" s="2"/>
      <c r="W38" s="65"/>
      <c r="X38" s="15"/>
      <c r="Y38" s="2"/>
      <c r="Z38" s="17"/>
    </row>
    <row r="39" spans="1:26" ht="15.5" x14ac:dyDescent="0.35">
      <c r="A39" s="232" t="s">
        <v>64</v>
      </c>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row>
    <row r="40" spans="1:26" ht="93" x14ac:dyDescent="0.35">
      <c r="A40" s="2" t="s">
        <v>340</v>
      </c>
      <c r="B40" s="7" t="s">
        <v>188</v>
      </c>
      <c r="C40" s="1" t="s">
        <v>39</v>
      </c>
      <c r="D40" s="13"/>
      <c r="E40" s="96"/>
      <c r="F40" s="96"/>
      <c r="G40" s="96"/>
      <c r="H40" s="13"/>
      <c r="I40" s="10"/>
      <c r="J40" s="10"/>
      <c r="K40" s="106"/>
      <c r="L40" s="13"/>
      <c r="M40" s="106"/>
      <c r="N40" s="106"/>
      <c r="O40" s="106"/>
      <c r="P40" s="13"/>
      <c r="Q40" s="106"/>
      <c r="R40" s="106"/>
      <c r="S40" s="106"/>
      <c r="T40" s="13"/>
      <c r="U40" s="2" t="s">
        <v>191</v>
      </c>
      <c r="V40" s="2" t="s">
        <v>65</v>
      </c>
      <c r="W40" s="15">
        <v>30000</v>
      </c>
      <c r="X40" s="15">
        <v>0</v>
      </c>
      <c r="Y40" s="2" t="s">
        <v>41</v>
      </c>
      <c r="Z40" s="17" t="s">
        <v>36</v>
      </c>
    </row>
    <row r="41" spans="1:26" ht="62" x14ac:dyDescent="0.35">
      <c r="A41" s="2" t="s">
        <v>341</v>
      </c>
      <c r="B41" s="7" t="s">
        <v>66</v>
      </c>
      <c r="C41" s="1" t="s">
        <v>39</v>
      </c>
      <c r="D41" s="24"/>
      <c r="E41" s="96"/>
      <c r="F41" s="96"/>
      <c r="G41" s="96"/>
      <c r="H41" s="22"/>
      <c r="I41" s="96"/>
      <c r="J41" s="96"/>
      <c r="K41" s="96"/>
      <c r="L41" s="22"/>
      <c r="M41" s="106"/>
      <c r="N41" s="106"/>
      <c r="O41" s="106"/>
      <c r="P41" s="22"/>
      <c r="Q41" s="96"/>
      <c r="R41" s="96"/>
      <c r="S41" s="96"/>
      <c r="T41" s="25"/>
      <c r="U41" s="2" t="s">
        <v>190</v>
      </c>
      <c r="V41" s="2" t="s">
        <v>189</v>
      </c>
      <c r="W41" s="15">
        <v>1000</v>
      </c>
      <c r="X41" s="169">
        <v>543070</v>
      </c>
      <c r="Y41" s="2" t="s">
        <v>41</v>
      </c>
      <c r="Z41" s="17" t="s">
        <v>36</v>
      </c>
    </row>
    <row r="42" spans="1:26" ht="52" customHeight="1" x14ac:dyDescent="0.35">
      <c r="A42" s="2" t="s">
        <v>342</v>
      </c>
      <c r="B42" s="7" t="s">
        <v>67</v>
      </c>
      <c r="C42" s="1" t="s">
        <v>39</v>
      </c>
      <c r="D42" s="24"/>
      <c r="E42" s="96"/>
      <c r="F42" s="96"/>
      <c r="G42" s="96"/>
      <c r="H42" s="22"/>
      <c r="I42" s="96"/>
      <c r="J42" s="96"/>
      <c r="K42" s="96"/>
      <c r="L42" s="22"/>
      <c r="M42" s="106"/>
      <c r="N42" s="106"/>
      <c r="O42" s="106"/>
      <c r="P42" s="22"/>
      <c r="Q42" s="96"/>
      <c r="R42" s="96"/>
      <c r="S42" s="96"/>
      <c r="T42" s="25"/>
      <c r="U42" s="2" t="s">
        <v>192</v>
      </c>
      <c r="V42" s="2" t="s">
        <v>68</v>
      </c>
      <c r="W42" s="15">
        <v>75000</v>
      </c>
      <c r="X42" s="169"/>
      <c r="Y42" s="2" t="s">
        <v>41</v>
      </c>
      <c r="Z42" s="17" t="s">
        <v>36</v>
      </c>
    </row>
    <row r="43" spans="1:26" s="31" customFormat="1" ht="46.5" x14ac:dyDescent="0.35">
      <c r="A43" s="42" t="s">
        <v>343</v>
      </c>
      <c r="B43" s="8" t="s">
        <v>193</v>
      </c>
      <c r="C43" s="1" t="s">
        <v>39</v>
      </c>
      <c r="D43" s="47"/>
      <c r="E43" s="42"/>
      <c r="F43" s="42"/>
      <c r="G43" s="42"/>
      <c r="H43" s="14"/>
      <c r="I43" s="93"/>
      <c r="J43" s="93"/>
      <c r="K43" s="14"/>
      <c r="L43" s="14"/>
      <c r="M43" s="14"/>
      <c r="N43" s="93"/>
      <c r="O43" s="93"/>
      <c r="P43" s="14"/>
      <c r="Q43" s="93"/>
      <c r="R43" s="93"/>
      <c r="S43" s="93"/>
      <c r="T43" s="48"/>
      <c r="U43" s="1" t="s">
        <v>391</v>
      </c>
      <c r="V43" s="1" t="s">
        <v>68</v>
      </c>
      <c r="W43" s="15">
        <v>60600</v>
      </c>
      <c r="X43" s="169"/>
      <c r="Y43" s="1"/>
      <c r="Z43" s="17"/>
    </row>
    <row r="44" spans="1:26" s="31" customFormat="1" ht="20" x14ac:dyDescent="0.35">
      <c r="A44" s="4"/>
      <c r="B44" s="8"/>
      <c r="C44" s="8"/>
      <c r="D44" s="14"/>
      <c r="E44" s="93"/>
      <c r="F44" s="93"/>
      <c r="G44" s="93"/>
      <c r="H44" s="14"/>
      <c r="I44" s="93"/>
      <c r="J44" s="93"/>
      <c r="K44" s="93"/>
      <c r="L44" s="14"/>
      <c r="M44" s="93"/>
      <c r="N44" s="93"/>
      <c r="O44" s="93"/>
      <c r="P44" s="14"/>
      <c r="Q44" s="93"/>
      <c r="R44" s="93"/>
      <c r="S44" s="93"/>
      <c r="T44" s="14"/>
      <c r="U44" s="8"/>
      <c r="V44" s="8"/>
      <c r="W44" s="66">
        <f>W40+W41+W42+W43</f>
        <v>166600</v>
      </c>
      <c r="X44" s="21"/>
      <c r="Y44" s="8"/>
      <c r="Z44" s="16"/>
    </row>
    <row r="45" spans="1:26" ht="15.5" x14ac:dyDescent="0.35">
      <c r="A45" s="219" t="s">
        <v>69</v>
      </c>
      <c r="B45" s="220"/>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1"/>
    </row>
    <row r="46" spans="1:26" ht="98.5" customHeight="1" x14ac:dyDescent="0.35">
      <c r="A46" s="2" t="s">
        <v>195</v>
      </c>
      <c r="B46" s="9" t="s">
        <v>194</v>
      </c>
      <c r="C46" s="1" t="s">
        <v>39</v>
      </c>
      <c r="D46" s="19"/>
      <c r="E46" s="23"/>
      <c r="F46" s="23"/>
      <c r="G46" s="23"/>
      <c r="H46" s="19"/>
      <c r="I46" s="23"/>
      <c r="J46" s="23"/>
      <c r="K46" s="23"/>
      <c r="L46" s="19"/>
      <c r="M46" s="23"/>
      <c r="N46" s="23"/>
      <c r="O46" s="23"/>
      <c r="P46" s="19"/>
      <c r="Q46" s="23"/>
      <c r="R46" s="23"/>
      <c r="S46" s="23"/>
      <c r="T46" s="100"/>
      <c r="U46" s="2" t="s">
        <v>198</v>
      </c>
      <c r="V46" s="6" t="s">
        <v>196</v>
      </c>
      <c r="W46" s="15">
        <v>50000</v>
      </c>
      <c r="X46" s="15">
        <v>0</v>
      </c>
      <c r="Y46" s="2" t="s">
        <v>41</v>
      </c>
      <c r="Z46" s="16" t="s">
        <v>36</v>
      </c>
    </row>
    <row r="47" spans="1:26" ht="98.5" customHeight="1" x14ac:dyDescent="0.35">
      <c r="A47" s="2" t="s">
        <v>394</v>
      </c>
      <c r="B47" s="9" t="s">
        <v>201</v>
      </c>
      <c r="C47" s="1" t="s">
        <v>39</v>
      </c>
      <c r="D47" s="19"/>
      <c r="E47" s="23"/>
      <c r="F47" s="23"/>
      <c r="G47" s="23"/>
      <c r="H47" s="23"/>
      <c r="I47" s="23"/>
      <c r="J47" s="23"/>
      <c r="K47" s="23"/>
      <c r="L47" s="23"/>
      <c r="M47" s="23"/>
      <c r="N47" s="23"/>
      <c r="O47" s="23"/>
      <c r="P47" s="19"/>
      <c r="Q47" s="23"/>
      <c r="R47" s="23"/>
      <c r="S47" s="23"/>
      <c r="T47" s="100"/>
      <c r="U47" s="2" t="s">
        <v>199</v>
      </c>
      <c r="V47" s="6" t="s">
        <v>200</v>
      </c>
      <c r="W47" s="15">
        <v>10000</v>
      </c>
      <c r="X47" s="15">
        <v>0</v>
      </c>
      <c r="Y47" s="2" t="s">
        <v>41</v>
      </c>
      <c r="Z47" s="16" t="s">
        <v>36</v>
      </c>
    </row>
    <row r="48" spans="1:26" s="31" customFormat="1" ht="77.5" x14ac:dyDescent="0.35">
      <c r="A48" s="1" t="s">
        <v>392</v>
      </c>
      <c r="B48" s="1" t="s">
        <v>202</v>
      </c>
      <c r="C48" s="1" t="s">
        <v>39</v>
      </c>
      <c r="D48" s="47"/>
      <c r="E48" s="49"/>
      <c r="F48" s="49"/>
      <c r="G48" s="49"/>
      <c r="H48" s="23"/>
      <c r="I48" s="49"/>
      <c r="J48" s="49"/>
      <c r="K48" s="49"/>
      <c r="L48" s="23"/>
      <c r="M48" s="49"/>
      <c r="N48" s="49"/>
      <c r="O48" s="19"/>
      <c r="P48" s="19"/>
      <c r="Q48" s="23"/>
      <c r="R48" s="23"/>
      <c r="S48" s="23"/>
      <c r="T48" s="100"/>
      <c r="U48" s="4" t="s">
        <v>70</v>
      </c>
      <c r="V48" s="4" t="s">
        <v>71</v>
      </c>
      <c r="W48" s="15">
        <v>19000</v>
      </c>
      <c r="X48" s="15">
        <v>0</v>
      </c>
      <c r="Y48" s="1" t="s">
        <v>41</v>
      </c>
      <c r="Z48" s="16" t="s">
        <v>36</v>
      </c>
    </row>
    <row r="49" spans="1:26" ht="62" x14ac:dyDescent="0.35">
      <c r="A49" s="2" t="s">
        <v>197</v>
      </c>
      <c r="B49" s="2" t="s">
        <v>203</v>
      </c>
      <c r="C49" s="1" t="s">
        <v>39</v>
      </c>
      <c r="D49" s="24"/>
      <c r="E49" s="24"/>
      <c r="F49" s="24"/>
      <c r="G49" s="24"/>
      <c r="H49" s="24"/>
      <c r="I49" s="24"/>
      <c r="J49" s="24"/>
      <c r="K49" s="24"/>
      <c r="L49" s="24"/>
      <c r="M49" s="24"/>
      <c r="N49" s="24"/>
      <c r="O49" s="24"/>
      <c r="P49" s="24"/>
      <c r="Q49" s="24"/>
      <c r="R49" s="24"/>
      <c r="S49" s="106"/>
      <c r="T49" s="25"/>
      <c r="U49" s="6" t="s">
        <v>72</v>
      </c>
      <c r="V49" s="6" t="s">
        <v>73</v>
      </c>
      <c r="W49" s="15">
        <v>15000</v>
      </c>
      <c r="X49" s="15">
        <v>0</v>
      </c>
      <c r="Y49" s="2" t="s">
        <v>41</v>
      </c>
      <c r="Z49" s="16" t="s">
        <v>36</v>
      </c>
    </row>
    <row r="50" spans="1:26" ht="60" customHeight="1" x14ac:dyDescent="0.35">
      <c r="A50" s="2" t="s">
        <v>74</v>
      </c>
      <c r="B50" s="9" t="s">
        <v>75</v>
      </c>
      <c r="C50" s="1" t="s">
        <v>39</v>
      </c>
      <c r="D50" s="24"/>
      <c r="E50" s="18"/>
      <c r="F50" s="18"/>
      <c r="G50" s="49"/>
      <c r="H50" s="19"/>
      <c r="I50" s="18"/>
      <c r="J50" s="18"/>
      <c r="K50" s="19"/>
      <c r="L50" s="24"/>
      <c r="M50" s="24"/>
      <c r="N50" s="24"/>
      <c r="O50" s="24"/>
      <c r="P50" s="24"/>
      <c r="Q50" s="96"/>
      <c r="R50" s="96"/>
      <c r="S50" s="96"/>
      <c r="T50" s="19"/>
      <c r="U50" s="7" t="s">
        <v>76</v>
      </c>
      <c r="V50" s="6"/>
      <c r="W50" s="41">
        <v>8500</v>
      </c>
      <c r="X50" s="15">
        <v>41708</v>
      </c>
      <c r="Y50" s="2"/>
      <c r="Z50" s="16"/>
    </row>
    <row r="51" spans="1:26" ht="31" x14ac:dyDescent="0.35">
      <c r="A51" s="2" t="s">
        <v>395</v>
      </c>
      <c r="B51" s="9" t="s">
        <v>254</v>
      </c>
      <c r="C51" s="1" t="s">
        <v>39</v>
      </c>
      <c r="D51" s="24"/>
      <c r="E51" s="18"/>
      <c r="F51" s="18"/>
      <c r="G51" s="18"/>
      <c r="H51" s="19"/>
      <c r="I51" s="18"/>
      <c r="J51" s="19"/>
      <c r="K51" s="184"/>
      <c r="L51" s="19"/>
      <c r="M51" s="19"/>
      <c r="N51" s="24"/>
      <c r="O51" s="24"/>
      <c r="P51" s="24"/>
      <c r="Q51" s="24"/>
      <c r="R51" s="106"/>
      <c r="S51" s="106"/>
      <c r="T51" s="19"/>
      <c r="U51" s="7" t="s">
        <v>255</v>
      </c>
      <c r="V51" s="6"/>
      <c r="W51" s="15">
        <v>15000</v>
      </c>
      <c r="X51" s="15"/>
      <c r="Y51" s="2"/>
      <c r="Z51" s="16"/>
    </row>
    <row r="52" spans="1:26" ht="77.5" x14ac:dyDescent="0.35">
      <c r="A52" s="1" t="s">
        <v>205</v>
      </c>
      <c r="B52" s="1" t="s">
        <v>337</v>
      </c>
      <c r="C52" s="1" t="s">
        <v>39</v>
      </c>
      <c r="D52" s="24"/>
      <c r="E52" s="49"/>
      <c r="F52" s="49"/>
      <c r="G52" s="49"/>
      <c r="H52" s="19"/>
      <c r="I52" s="18"/>
      <c r="J52" s="18"/>
      <c r="K52" s="18"/>
      <c r="L52" s="19"/>
      <c r="M52" s="96"/>
      <c r="N52" s="96"/>
      <c r="O52" s="96"/>
      <c r="P52" s="24"/>
      <c r="Q52" s="24"/>
      <c r="R52" s="24"/>
      <c r="S52" s="106"/>
      <c r="T52" s="106"/>
      <c r="U52" s="8" t="s">
        <v>206</v>
      </c>
      <c r="V52" s="4" t="s">
        <v>77</v>
      </c>
      <c r="W52" s="15">
        <v>5000</v>
      </c>
      <c r="X52" s="15"/>
      <c r="Y52" s="1" t="s">
        <v>41</v>
      </c>
      <c r="Z52" s="16" t="s">
        <v>36</v>
      </c>
    </row>
    <row r="53" spans="1:26" ht="77.5" x14ac:dyDescent="0.35">
      <c r="A53" s="1" t="s">
        <v>204</v>
      </c>
      <c r="B53" s="1" t="s">
        <v>337</v>
      </c>
      <c r="C53" s="1" t="s">
        <v>39</v>
      </c>
      <c r="D53" s="47"/>
      <c r="E53" s="96"/>
      <c r="F53" s="96"/>
      <c r="G53" s="96"/>
      <c r="H53" s="14"/>
      <c r="I53" s="1"/>
      <c r="J53" s="113"/>
      <c r="K53" s="113"/>
      <c r="L53" s="113"/>
      <c r="M53" s="113"/>
      <c r="N53" s="93"/>
      <c r="O53" s="93"/>
      <c r="P53" s="14"/>
      <c r="Q53" s="96"/>
      <c r="R53" s="96"/>
      <c r="S53" s="96"/>
      <c r="T53" s="14"/>
      <c r="U53" s="8" t="s">
        <v>207</v>
      </c>
      <c r="V53" s="4" t="s">
        <v>208</v>
      </c>
      <c r="W53" s="15">
        <v>17000</v>
      </c>
      <c r="X53" s="15"/>
      <c r="Y53" s="1" t="s">
        <v>41</v>
      </c>
      <c r="Z53" s="16" t="s">
        <v>36</v>
      </c>
    </row>
    <row r="54" spans="1:26" s="112" customFormat="1" ht="20" x14ac:dyDescent="0.35">
      <c r="A54" s="102"/>
      <c r="B54" s="98"/>
      <c r="C54" s="98"/>
      <c r="D54" s="98"/>
      <c r="E54" s="96"/>
      <c r="F54" s="96"/>
      <c r="G54" s="96"/>
      <c r="H54" s="98"/>
      <c r="I54" s="93"/>
      <c r="J54" s="93"/>
      <c r="K54" s="93"/>
      <c r="L54" s="101"/>
      <c r="M54" s="93"/>
      <c r="N54" s="93"/>
      <c r="O54" s="93"/>
      <c r="P54" s="98"/>
      <c r="Q54" s="96"/>
      <c r="R54" s="96"/>
      <c r="S54" s="96"/>
      <c r="T54" s="98"/>
      <c r="U54" s="98"/>
      <c r="V54" s="98"/>
      <c r="W54" s="109">
        <f>W46+W47+W48+W49+W50+W51+W52+W53</f>
        <v>139500</v>
      </c>
      <c r="X54" s="110"/>
      <c r="Y54" s="98"/>
      <c r="Z54" s="111"/>
    </row>
    <row r="55" spans="1:26" ht="15.5" x14ac:dyDescent="0.35">
      <c r="A55" s="219" t="s">
        <v>78</v>
      </c>
      <c r="B55" s="220"/>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1"/>
    </row>
    <row r="56" spans="1:26" ht="62" x14ac:dyDescent="0.35">
      <c r="A56" s="2" t="s">
        <v>79</v>
      </c>
      <c r="B56" s="9" t="s">
        <v>209</v>
      </c>
      <c r="C56" s="1" t="s">
        <v>39</v>
      </c>
      <c r="D56" s="19"/>
      <c r="E56" s="99"/>
      <c r="F56" s="99"/>
      <c r="G56" s="99"/>
      <c r="H56" s="19"/>
      <c r="I56" s="99"/>
      <c r="J56" s="99"/>
      <c r="K56" s="99"/>
      <c r="L56" s="19"/>
      <c r="M56" s="49"/>
      <c r="N56" s="49"/>
      <c r="O56" s="49"/>
      <c r="P56" s="19"/>
      <c r="Q56" s="113"/>
      <c r="R56" s="113"/>
      <c r="S56" s="113"/>
      <c r="T56" s="23"/>
      <c r="U56" s="2" t="s">
        <v>80</v>
      </c>
      <c r="V56" s="2" t="s">
        <v>81</v>
      </c>
      <c r="W56" s="21">
        <v>10000</v>
      </c>
      <c r="X56" s="21">
        <v>0</v>
      </c>
      <c r="Y56" s="2" t="s">
        <v>41</v>
      </c>
      <c r="Z56" s="16" t="s">
        <v>36</v>
      </c>
    </row>
    <row r="57" spans="1:26" ht="170.5" x14ac:dyDescent="0.35">
      <c r="A57" s="10" t="s">
        <v>210</v>
      </c>
      <c r="B57" s="9" t="s">
        <v>211</v>
      </c>
      <c r="C57" s="1" t="s">
        <v>39</v>
      </c>
      <c r="D57" s="184"/>
      <c r="E57" s="49"/>
      <c r="F57" s="49"/>
      <c r="G57" s="49"/>
      <c r="H57" s="19"/>
      <c r="I57" s="185"/>
      <c r="J57" s="185"/>
      <c r="K57" s="185"/>
      <c r="L57" s="184"/>
      <c r="M57" s="185"/>
      <c r="N57" s="185"/>
      <c r="O57" s="113"/>
      <c r="P57" s="19"/>
      <c r="Q57" s="113"/>
      <c r="R57" s="185"/>
      <c r="S57" s="185"/>
      <c r="T57" s="186"/>
      <c r="U57" s="6" t="s">
        <v>214</v>
      </c>
      <c r="V57" s="6" t="s">
        <v>215</v>
      </c>
      <c r="W57" s="15">
        <v>4468</v>
      </c>
      <c r="X57" s="21">
        <v>0</v>
      </c>
      <c r="Y57" s="2" t="s">
        <v>41</v>
      </c>
      <c r="Z57" s="16" t="s">
        <v>36</v>
      </c>
    </row>
    <row r="58" spans="1:26" ht="170.5" x14ac:dyDescent="0.35">
      <c r="A58" s="2" t="s">
        <v>212</v>
      </c>
      <c r="B58" s="9" t="s">
        <v>213</v>
      </c>
      <c r="C58" s="1" t="s">
        <v>39</v>
      </c>
      <c r="D58" s="19"/>
      <c r="E58" s="49"/>
      <c r="F58" s="49"/>
      <c r="G58" s="49"/>
      <c r="H58" s="19"/>
      <c r="I58" s="185"/>
      <c r="J58" s="185"/>
      <c r="K58" s="113"/>
      <c r="L58" s="19"/>
      <c r="M58" s="113"/>
      <c r="N58" s="113"/>
      <c r="O58" s="113"/>
      <c r="P58" s="19"/>
      <c r="Q58" s="113"/>
      <c r="R58" s="113"/>
      <c r="S58" s="113"/>
      <c r="T58" s="100"/>
      <c r="U58" s="6" t="s">
        <v>217</v>
      </c>
      <c r="V58" s="6" t="s">
        <v>216</v>
      </c>
      <c r="W58" s="21">
        <v>15000</v>
      </c>
      <c r="X58" s="15">
        <v>0</v>
      </c>
      <c r="Y58" s="2" t="s">
        <v>41</v>
      </c>
      <c r="Z58" s="16" t="s">
        <v>36</v>
      </c>
    </row>
    <row r="59" spans="1:26" ht="77.5" x14ac:dyDescent="0.35">
      <c r="A59" s="2" t="s">
        <v>218</v>
      </c>
      <c r="B59" s="2" t="s">
        <v>219</v>
      </c>
      <c r="C59" s="1" t="s">
        <v>39</v>
      </c>
      <c r="D59" s="24"/>
      <c r="E59" s="106"/>
      <c r="F59" s="106"/>
      <c r="G59" s="106"/>
      <c r="H59" s="25"/>
      <c r="I59" s="105"/>
      <c r="J59" s="105"/>
      <c r="K59" s="105"/>
      <c r="L59" s="24"/>
      <c r="M59" s="105"/>
      <c r="N59" s="105"/>
      <c r="O59" s="105"/>
      <c r="P59" s="22"/>
      <c r="Q59" s="105"/>
      <c r="R59" s="105"/>
      <c r="S59" s="105"/>
      <c r="T59" s="25"/>
      <c r="U59" s="6" t="s">
        <v>220</v>
      </c>
      <c r="V59" s="6" t="s">
        <v>82</v>
      </c>
      <c r="W59" s="15">
        <v>25000</v>
      </c>
      <c r="X59" s="169">
        <v>100000</v>
      </c>
      <c r="Y59" s="2" t="s">
        <v>41</v>
      </c>
      <c r="Z59" s="16" t="s">
        <v>36</v>
      </c>
    </row>
    <row r="60" spans="1:26" ht="15.5" x14ac:dyDescent="0.35">
      <c r="A60" s="219" t="s">
        <v>83</v>
      </c>
      <c r="B60" s="220"/>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1"/>
    </row>
    <row r="61" spans="1:26" ht="20" x14ac:dyDescent="0.35">
      <c r="A61" s="6"/>
      <c r="B61" s="29"/>
      <c r="C61" s="8"/>
      <c r="D61" s="19"/>
      <c r="E61" s="18"/>
      <c r="F61" s="18"/>
      <c r="G61" s="18"/>
      <c r="H61" s="19"/>
      <c r="I61" s="49"/>
      <c r="J61" s="49"/>
      <c r="K61" s="49"/>
      <c r="L61" s="19"/>
      <c r="M61" s="49"/>
      <c r="N61" s="49"/>
      <c r="O61" s="19"/>
      <c r="P61" s="19"/>
      <c r="Q61" s="19"/>
      <c r="R61" s="99"/>
      <c r="S61" s="99"/>
      <c r="T61" s="19"/>
      <c r="U61" s="7"/>
      <c r="V61" s="7"/>
      <c r="W61" s="66">
        <f>W56+W57+W58+W59</f>
        <v>54468</v>
      </c>
      <c r="X61" s="21"/>
      <c r="Y61" s="7"/>
      <c r="Z61" s="16"/>
    </row>
    <row r="62" spans="1:26" ht="15" x14ac:dyDescent="0.35">
      <c r="A62" s="216" t="s">
        <v>84</v>
      </c>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8"/>
    </row>
    <row r="63" spans="1:26" ht="60" customHeight="1" x14ac:dyDescent="0.35">
      <c r="A63" s="37" t="s">
        <v>85</v>
      </c>
      <c r="B63" s="38"/>
      <c r="C63" s="38"/>
      <c r="D63" s="38"/>
      <c r="E63" s="38"/>
      <c r="F63" s="38"/>
      <c r="G63" s="38"/>
      <c r="H63" s="38"/>
      <c r="I63" s="38"/>
      <c r="J63" s="38"/>
      <c r="K63" s="38"/>
      <c r="L63" s="38"/>
      <c r="M63" s="38"/>
      <c r="N63" s="38"/>
      <c r="O63" s="38"/>
      <c r="P63" s="38"/>
      <c r="Q63" s="38"/>
      <c r="R63" s="38"/>
      <c r="S63" s="38"/>
      <c r="T63" s="38"/>
      <c r="U63" s="38"/>
      <c r="V63" s="38"/>
      <c r="W63" s="38"/>
      <c r="X63" s="173">
        <f>X64+X67+X68+X69+X70+X71+X75+X76</f>
        <v>98980</v>
      </c>
      <c r="Y63" s="38"/>
      <c r="Z63" s="39"/>
    </row>
    <row r="64" spans="1:26" ht="72" customHeight="1" x14ac:dyDescent="0.35">
      <c r="A64" s="10" t="s">
        <v>377</v>
      </c>
      <c r="B64" s="9" t="s">
        <v>357</v>
      </c>
      <c r="C64" s="1" t="s">
        <v>39</v>
      </c>
      <c r="D64" s="23"/>
      <c r="E64" s="49"/>
      <c r="F64" s="49"/>
      <c r="G64" s="49"/>
      <c r="H64" s="23"/>
      <c r="I64" s="49"/>
      <c r="J64" s="49"/>
      <c r="K64" s="23"/>
      <c r="L64" s="23"/>
      <c r="M64" s="23"/>
      <c r="N64" s="23"/>
      <c r="O64" s="23"/>
      <c r="P64" s="23"/>
      <c r="Q64" s="23"/>
      <c r="R64" s="23"/>
      <c r="S64" s="23"/>
      <c r="T64" s="23"/>
      <c r="U64" s="2" t="s">
        <v>358</v>
      </c>
      <c r="V64" s="6" t="s">
        <v>99</v>
      </c>
      <c r="W64" s="15">
        <v>5000</v>
      </c>
      <c r="X64" s="15">
        <v>0</v>
      </c>
      <c r="Y64" s="2" t="s">
        <v>41</v>
      </c>
      <c r="Z64" s="16" t="s">
        <v>36</v>
      </c>
    </row>
    <row r="65" spans="1:26" ht="46.5" x14ac:dyDescent="0.35">
      <c r="A65" s="10" t="s">
        <v>378</v>
      </c>
      <c r="B65" s="9" t="s">
        <v>357</v>
      </c>
      <c r="C65" s="1" t="s">
        <v>39</v>
      </c>
      <c r="D65" s="23"/>
      <c r="E65" s="49"/>
      <c r="F65" s="49"/>
      <c r="G65" s="49"/>
      <c r="H65" s="23"/>
      <c r="I65" s="49"/>
      <c r="J65" s="49"/>
      <c r="K65" s="23"/>
      <c r="L65" s="23"/>
      <c r="M65" s="23"/>
      <c r="N65" s="23"/>
      <c r="O65" s="23"/>
      <c r="P65" s="23"/>
      <c r="Q65" s="23"/>
      <c r="R65" s="23"/>
      <c r="S65" s="23"/>
      <c r="T65" s="23"/>
      <c r="U65" s="2" t="s">
        <v>358</v>
      </c>
      <c r="V65" s="6" t="s">
        <v>99</v>
      </c>
      <c r="W65" s="15">
        <v>5000</v>
      </c>
      <c r="X65" s="15">
        <v>0</v>
      </c>
      <c r="Y65" s="2" t="s">
        <v>41</v>
      </c>
      <c r="Z65" s="16" t="s">
        <v>36</v>
      </c>
    </row>
    <row r="66" spans="1:26" ht="62" x14ac:dyDescent="0.35">
      <c r="A66" s="2" t="s">
        <v>351</v>
      </c>
      <c r="B66" s="9" t="s">
        <v>158</v>
      </c>
      <c r="C66" s="1" t="s">
        <v>39</v>
      </c>
      <c r="D66" s="23"/>
      <c r="E66" s="49"/>
      <c r="F66" s="49"/>
      <c r="G66" s="49"/>
      <c r="H66" s="23"/>
      <c r="I66" s="49"/>
      <c r="J66" s="49"/>
      <c r="K66" s="23"/>
      <c r="L66" s="23"/>
      <c r="M66" s="23"/>
      <c r="N66" s="23"/>
      <c r="O66" s="23"/>
      <c r="P66" s="23"/>
      <c r="Q66" s="23"/>
      <c r="R66" s="23"/>
      <c r="S66" s="23"/>
      <c r="T66" s="23"/>
      <c r="U66" s="2" t="s">
        <v>86</v>
      </c>
      <c r="V66" s="6" t="s">
        <v>221</v>
      </c>
      <c r="W66" s="15">
        <v>16000</v>
      </c>
      <c r="X66" s="15">
        <v>0</v>
      </c>
      <c r="Y66" s="2" t="s">
        <v>41</v>
      </c>
      <c r="Z66" s="16" t="s">
        <v>36</v>
      </c>
    </row>
    <row r="67" spans="1:26" ht="46.5" x14ac:dyDescent="0.35">
      <c r="A67" s="2" t="s">
        <v>352</v>
      </c>
      <c r="B67" s="29" t="s">
        <v>159</v>
      </c>
      <c r="C67" s="1" t="s">
        <v>39</v>
      </c>
      <c r="D67" s="23"/>
      <c r="E67" s="49"/>
      <c r="F67" s="49"/>
      <c r="G67" s="49"/>
      <c r="H67" s="23"/>
      <c r="I67" s="49"/>
      <c r="J67" s="49"/>
      <c r="K67" s="23"/>
      <c r="L67" s="23"/>
      <c r="M67" s="23"/>
      <c r="N67" s="23"/>
      <c r="O67" s="23"/>
      <c r="P67" s="23"/>
      <c r="Q67" s="23"/>
      <c r="R67" s="23"/>
      <c r="S67" s="23"/>
      <c r="T67" s="23"/>
      <c r="U67" s="2" t="s">
        <v>87</v>
      </c>
      <c r="V67" s="6" t="s">
        <v>221</v>
      </c>
      <c r="W67" s="15">
        <v>5000</v>
      </c>
      <c r="X67" s="15">
        <v>0</v>
      </c>
      <c r="Y67" s="2" t="s">
        <v>41</v>
      </c>
      <c r="Z67" s="16" t="s">
        <v>36</v>
      </c>
    </row>
    <row r="68" spans="1:26" ht="46.5" x14ac:dyDescent="0.35">
      <c r="A68" s="6" t="s">
        <v>353</v>
      </c>
      <c r="B68" s="5" t="s">
        <v>160</v>
      </c>
      <c r="C68" s="1" t="s">
        <v>39</v>
      </c>
      <c r="D68" s="23"/>
      <c r="E68" s="49"/>
      <c r="F68" s="49"/>
      <c r="G68" s="49"/>
      <c r="H68" s="23"/>
      <c r="I68" s="49"/>
      <c r="J68" s="49"/>
      <c r="K68" s="23"/>
      <c r="L68" s="23"/>
      <c r="M68" s="23"/>
      <c r="N68" s="23"/>
      <c r="O68" s="23"/>
      <c r="P68" s="23"/>
      <c r="Q68" s="23"/>
      <c r="R68" s="23"/>
      <c r="S68" s="23"/>
      <c r="T68" s="23"/>
      <c r="U68" s="7" t="s">
        <v>88</v>
      </c>
      <c r="V68" s="7" t="s">
        <v>89</v>
      </c>
      <c r="W68" s="15">
        <v>10000</v>
      </c>
      <c r="X68" s="15">
        <v>0</v>
      </c>
      <c r="Y68" s="2" t="s">
        <v>41</v>
      </c>
      <c r="Z68" s="16" t="s">
        <v>36</v>
      </c>
    </row>
    <row r="69" spans="1:26" ht="77.5" x14ac:dyDescent="0.35">
      <c r="A69" s="6" t="s">
        <v>354</v>
      </c>
      <c r="B69" s="5" t="s">
        <v>161</v>
      </c>
      <c r="C69" s="1" t="s">
        <v>39</v>
      </c>
      <c r="D69" s="23"/>
      <c r="E69" s="49"/>
      <c r="F69" s="49"/>
      <c r="G69" s="49"/>
      <c r="H69" s="23"/>
      <c r="I69" s="49"/>
      <c r="J69" s="49"/>
      <c r="K69" s="23"/>
      <c r="L69" s="23"/>
      <c r="M69" s="23"/>
      <c r="N69" s="23"/>
      <c r="O69" s="23"/>
      <c r="P69" s="23"/>
      <c r="Q69" s="23"/>
      <c r="R69" s="23"/>
      <c r="S69" s="23"/>
      <c r="T69" s="23"/>
      <c r="U69" s="7" t="s">
        <v>90</v>
      </c>
      <c r="V69" s="7" t="s">
        <v>91</v>
      </c>
      <c r="W69" s="15">
        <v>10000</v>
      </c>
      <c r="X69" s="30">
        <v>0</v>
      </c>
      <c r="Y69" s="2" t="s">
        <v>41</v>
      </c>
      <c r="Z69" s="16" t="s">
        <v>36</v>
      </c>
    </row>
    <row r="70" spans="1:26" ht="77.5" x14ac:dyDescent="0.35">
      <c r="A70" s="6" t="s">
        <v>355</v>
      </c>
      <c r="B70" s="5" t="s">
        <v>162</v>
      </c>
      <c r="C70" s="1" t="s">
        <v>39</v>
      </c>
      <c r="D70" s="23"/>
      <c r="E70" s="49"/>
      <c r="F70" s="49"/>
      <c r="G70" s="49"/>
      <c r="H70" s="23"/>
      <c r="I70" s="49"/>
      <c r="J70" s="49"/>
      <c r="K70" s="23"/>
      <c r="L70" s="23"/>
      <c r="M70" s="23"/>
      <c r="N70" s="23"/>
      <c r="O70" s="23"/>
      <c r="P70" s="23"/>
      <c r="Q70" s="23"/>
      <c r="R70" s="23"/>
      <c r="S70" s="23"/>
      <c r="T70" s="23"/>
      <c r="U70" s="2" t="s">
        <v>92</v>
      </c>
      <c r="V70" s="2" t="s">
        <v>222</v>
      </c>
      <c r="W70" s="15">
        <v>10000</v>
      </c>
      <c r="X70" s="15">
        <v>0</v>
      </c>
      <c r="Y70" s="2" t="s">
        <v>41</v>
      </c>
      <c r="Z70" s="17" t="s">
        <v>36</v>
      </c>
    </row>
    <row r="71" spans="1:26" ht="77.5" x14ac:dyDescent="0.35">
      <c r="A71" s="27" t="s">
        <v>356</v>
      </c>
      <c r="B71" s="50" t="s">
        <v>163</v>
      </c>
      <c r="C71" s="51" t="s">
        <v>39</v>
      </c>
      <c r="D71" s="52"/>
      <c r="E71" s="49"/>
      <c r="F71" s="49"/>
      <c r="G71" s="49"/>
      <c r="H71" s="52"/>
      <c r="I71" s="49"/>
      <c r="J71" s="49"/>
      <c r="K71" s="23"/>
      <c r="L71" s="52"/>
      <c r="M71" s="23"/>
      <c r="N71" s="23"/>
      <c r="O71" s="23"/>
      <c r="P71" s="52"/>
      <c r="Q71" s="23"/>
      <c r="R71" s="23"/>
      <c r="S71" s="23"/>
      <c r="T71" s="52"/>
      <c r="U71" s="2" t="s">
        <v>93</v>
      </c>
      <c r="V71" s="2" t="s">
        <v>94</v>
      </c>
      <c r="W71" s="15">
        <v>15000</v>
      </c>
      <c r="X71" s="169">
        <v>98980</v>
      </c>
      <c r="Y71" s="2" t="s">
        <v>41</v>
      </c>
      <c r="Z71" s="17" t="s">
        <v>36</v>
      </c>
    </row>
    <row r="72" spans="1:26" s="210" customFormat="1" ht="31" x14ac:dyDescent="0.35">
      <c r="A72" s="200" t="s">
        <v>411</v>
      </c>
      <c r="B72" s="201" t="s">
        <v>401</v>
      </c>
      <c r="C72" s="202"/>
      <c r="D72" s="203"/>
      <c r="E72" s="204"/>
      <c r="F72" s="204"/>
      <c r="G72" s="204"/>
      <c r="H72" s="203"/>
      <c r="I72" s="204"/>
      <c r="J72" s="204"/>
      <c r="K72" s="204"/>
      <c r="L72" s="203"/>
      <c r="M72" s="204"/>
      <c r="N72" s="204"/>
      <c r="O72" s="204"/>
      <c r="P72" s="203"/>
      <c r="Q72" s="204"/>
      <c r="R72" s="204"/>
      <c r="S72" s="204"/>
      <c r="T72" s="203"/>
      <c r="U72" s="205" t="s">
        <v>402</v>
      </c>
      <c r="V72" s="206" t="s">
        <v>403</v>
      </c>
      <c r="W72" s="207">
        <v>8320</v>
      </c>
      <c r="X72" s="208">
        <v>0</v>
      </c>
      <c r="Y72" s="206"/>
      <c r="Z72" s="209"/>
    </row>
    <row r="73" spans="1:26" s="210" customFormat="1" ht="62" x14ac:dyDescent="0.35">
      <c r="A73" s="200" t="s">
        <v>412</v>
      </c>
      <c r="B73" s="201" t="s">
        <v>97</v>
      </c>
      <c r="C73" s="202" t="s">
        <v>39</v>
      </c>
      <c r="D73" s="203"/>
      <c r="E73" s="204"/>
      <c r="F73" s="204"/>
      <c r="G73" s="204"/>
      <c r="H73" s="203"/>
      <c r="I73" s="204"/>
      <c r="J73" s="204"/>
      <c r="K73" s="204"/>
      <c r="L73" s="203"/>
      <c r="M73" s="204"/>
      <c r="N73" s="204"/>
      <c r="O73" s="204"/>
      <c r="P73" s="203"/>
      <c r="Q73" s="204"/>
      <c r="R73" s="204"/>
      <c r="S73" s="204"/>
      <c r="T73" s="203"/>
      <c r="U73" s="206" t="s">
        <v>413</v>
      </c>
      <c r="V73" s="206" t="s">
        <v>414</v>
      </c>
      <c r="W73" s="207">
        <v>383948</v>
      </c>
      <c r="X73" s="208">
        <v>0</v>
      </c>
      <c r="Y73" s="206" t="s">
        <v>41</v>
      </c>
      <c r="Z73" s="209" t="s">
        <v>36</v>
      </c>
    </row>
    <row r="74" spans="1:26" s="210" customFormat="1" ht="62" x14ac:dyDescent="0.35">
      <c r="A74" s="200" t="s">
        <v>424</v>
      </c>
      <c r="B74" s="201" t="s">
        <v>97</v>
      </c>
      <c r="C74" s="202" t="s">
        <v>39</v>
      </c>
      <c r="D74" s="203"/>
      <c r="E74" s="204"/>
      <c r="F74" s="204"/>
      <c r="G74" s="204"/>
      <c r="H74" s="203"/>
      <c r="I74" s="204"/>
      <c r="J74" s="204"/>
      <c r="K74" s="204"/>
      <c r="L74" s="203"/>
      <c r="M74" s="204"/>
      <c r="N74" s="204"/>
      <c r="O74" s="204"/>
      <c r="P74" s="203"/>
      <c r="Q74" s="204"/>
      <c r="R74" s="204"/>
      <c r="S74" s="204"/>
      <c r="T74" s="203"/>
      <c r="U74" s="206" t="s">
        <v>425</v>
      </c>
      <c r="V74" s="206" t="s">
        <v>426</v>
      </c>
      <c r="W74" s="207">
        <v>78203</v>
      </c>
      <c r="X74" s="208"/>
      <c r="Y74" s="206"/>
      <c r="Z74" s="209"/>
    </row>
    <row r="75" spans="1:26" s="210" customFormat="1" ht="62" x14ac:dyDescent="0.35">
      <c r="A75" s="200" t="s">
        <v>427</v>
      </c>
      <c r="B75" s="205" t="s">
        <v>97</v>
      </c>
      <c r="C75" s="202" t="s">
        <v>39</v>
      </c>
      <c r="D75" s="211"/>
      <c r="E75" s="204"/>
      <c r="F75" s="204"/>
      <c r="G75" s="204"/>
      <c r="H75" s="203"/>
      <c r="I75" s="204"/>
      <c r="J75" s="204"/>
      <c r="K75" s="204"/>
      <c r="L75" s="203"/>
      <c r="M75" s="204"/>
      <c r="N75" s="204"/>
      <c r="O75" s="204"/>
      <c r="P75" s="203"/>
      <c r="Q75" s="204"/>
      <c r="R75" s="204"/>
      <c r="S75" s="204"/>
      <c r="T75" s="203"/>
      <c r="U75" s="205" t="s">
        <v>404</v>
      </c>
      <c r="V75" s="206" t="s">
        <v>405</v>
      </c>
      <c r="W75" s="207">
        <v>134923</v>
      </c>
      <c r="X75" s="207">
        <v>0</v>
      </c>
      <c r="Y75" s="205" t="s">
        <v>41</v>
      </c>
      <c r="Z75" s="209" t="s">
        <v>36</v>
      </c>
    </row>
    <row r="76" spans="1:26" s="210" customFormat="1" ht="62" x14ac:dyDescent="0.35">
      <c r="A76" s="205" t="s">
        <v>428</v>
      </c>
      <c r="B76" s="205" t="s">
        <v>406</v>
      </c>
      <c r="C76" s="202" t="s">
        <v>39</v>
      </c>
      <c r="D76" s="203"/>
      <c r="E76" s="204"/>
      <c r="F76" s="204"/>
      <c r="G76" s="204"/>
      <c r="H76" s="203"/>
      <c r="I76" s="204"/>
      <c r="J76" s="204"/>
      <c r="K76" s="204"/>
      <c r="L76" s="203"/>
      <c r="M76" s="204"/>
      <c r="N76" s="204"/>
      <c r="O76" s="204"/>
      <c r="P76" s="203"/>
      <c r="Q76" s="204"/>
      <c r="R76" s="204"/>
      <c r="S76" s="204"/>
      <c r="T76" s="203"/>
      <c r="U76" s="205" t="s">
        <v>415</v>
      </c>
      <c r="V76" s="205" t="s">
        <v>416</v>
      </c>
      <c r="W76" s="207">
        <v>41597</v>
      </c>
      <c r="X76" s="207"/>
      <c r="Y76" s="205"/>
      <c r="Z76" s="209"/>
    </row>
    <row r="77" spans="1:26" s="210" customFormat="1" ht="62" x14ac:dyDescent="0.35">
      <c r="A77" s="205" t="s">
        <v>429</v>
      </c>
      <c r="B77" s="205" t="s">
        <v>417</v>
      </c>
      <c r="C77" s="202" t="s">
        <v>39</v>
      </c>
      <c r="D77" s="211"/>
      <c r="E77" s="205"/>
      <c r="F77" s="205"/>
      <c r="G77" s="205"/>
      <c r="H77" s="211"/>
      <c r="I77" s="205"/>
      <c r="J77" s="205"/>
      <c r="K77" s="205"/>
      <c r="L77" s="205"/>
      <c r="M77" s="205"/>
      <c r="N77" s="205"/>
      <c r="O77" s="205"/>
      <c r="P77" s="205"/>
      <c r="Q77" s="205"/>
      <c r="R77" s="205"/>
      <c r="S77" s="205"/>
      <c r="T77" s="205"/>
      <c r="U77" s="205" t="s">
        <v>408</v>
      </c>
      <c r="V77" s="205" t="s">
        <v>409</v>
      </c>
      <c r="W77" s="207">
        <v>53245</v>
      </c>
      <c r="X77" s="207"/>
      <c r="Y77" s="205"/>
      <c r="Z77" s="212"/>
    </row>
    <row r="78" spans="1:26" s="210" customFormat="1" ht="62" x14ac:dyDescent="0.35">
      <c r="A78" s="205" t="s">
        <v>430</v>
      </c>
      <c r="B78" s="205" t="s">
        <v>417</v>
      </c>
      <c r="C78" s="205" t="s">
        <v>39</v>
      </c>
      <c r="D78" s="211"/>
      <c r="E78" s="205"/>
      <c r="F78" s="205"/>
      <c r="G78" s="205"/>
      <c r="H78" s="211"/>
      <c r="I78" s="205"/>
      <c r="J78" s="205"/>
      <c r="K78" s="205"/>
      <c r="L78" s="205"/>
      <c r="M78" s="205"/>
      <c r="N78" s="205"/>
      <c r="O78" s="205"/>
      <c r="P78" s="205"/>
      <c r="Q78" s="205"/>
      <c r="R78" s="205"/>
      <c r="S78" s="205"/>
      <c r="T78" s="205"/>
      <c r="U78" s="205" t="s">
        <v>418</v>
      </c>
      <c r="V78" s="205" t="s">
        <v>419</v>
      </c>
      <c r="W78" s="207">
        <v>233943</v>
      </c>
      <c r="X78" s="207"/>
      <c r="Y78" s="205" t="s">
        <v>41</v>
      </c>
      <c r="Z78" s="212" t="s">
        <v>36</v>
      </c>
    </row>
    <row r="79" spans="1:26" s="210" customFormat="1" ht="46.5" x14ac:dyDescent="0.35">
      <c r="A79" s="205" t="s">
        <v>431</v>
      </c>
      <c r="B79" s="205" t="s">
        <v>420</v>
      </c>
      <c r="C79" s="205" t="s">
        <v>39</v>
      </c>
      <c r="D79" s="211"/>
      <c r="E79" s="205"/>
      <c r="F79" s="205"/>
      <c r="G79" s="205"/>
      <c r="H79" s="211"/>
      <c r="I79" s="205"/>
      <c r="J79" s="205"/>
      <c r="K79" s="205"/>
      <c r="L79" s="205"/>
      <c r="M79" s="205"/>
      <c r="N79" s="205"/>
      <c r="O79" s="205"/>
      <c r="P79" s="205"/>
      <c r="Q79" s="205"/>
      <c r="R79" s="205"/>
      <c r="S79" s="205"/>
      <c r="T79" s="205"/>
      <c r="U79" s="205" t="s">
        <v>421</v>
      </c>
      <c r="V79" s="205" t="s">
        <v>422</v>
      </c>
      <c r="W79" s="207">
        <v>8319</v>
      </c>
      <c r="X79" s="207"/>
      <c r="Y79" s="205"/>
      <c r="Z79" s="212"/>
    </row>
    <row r="80" spans="1:26" ht="46.5" x14ac:dyDescent="0.35">
      <c r="A80" s="1" t="s">
        <v>432</v>
      </c>
      <c r="B80" s="1" t="s">
        <v>423</v>
      </c>
      <c r="C80" s="1"/>
      <c r="D80" s="117"/>
      <c r="E80" s="42"/>
      <c r="F80" s="42"/>
      <c r="G80" s="42"/>
      <c r="H80" s="117"/>
      <c r="I80" s="42"/>
      <c r="J80" s="42"/>
      <c r="K80" s="94"/>
      <c r="L80" s="94"/>
      <c r="M80" s="94"/>
      <c r="N80" s="94"/>
      <c r="O80" s="94"/>
      <c r="P80" s="94"/>
      <c r="Q80" s="93"/>
      <c r="R80" s="93"/>
      <c r="S80" s="93"/>
      <c r="T80" s="12"/>
      <c r="U80" s="1" t="s">
        <v>385</v>
      </c>
      <c r="V80" s="1" t="s">
        <v>99</v>
      </c>
      <c r="W80" s="15">
        <v>40000</v>
      </c>
      <c r="X80" s="15"/>
      <c r="Y80" s="1" t="s">
        <v>41</v>
      </c>
      <c r="Z80" s="17" t="s">
        <v>36</v>
      </c>
    </row>
    <row r="81" spans="1:26" ht="46.5" x14ac:dyDescent="0.35">
      <c r="A81" s="1" t="s">
        <v>433</v>
      </c>
      <c r="B81" s="1" t="s">
        <v>407</v>
      </c>
      <c r="C81" s="1" t="s">
        <v>39</v>
      </c>
      <c r="D81" s="117"/>
      <c r="E81" s="42"/>
      <c r="F81" s="42"/>
      <c r="G81" s="42"/>
      <c r="H81" s="117"/>
      <c r="I81" s="42"/>
      <c r="J81" s="42"/>
      <c r="K81" s="94"/>
      <c r="L81" s="94"/>
      <c r="M81" s="94"/>
      <c r="N81" s="94"/>
      <c r="O81" s="94"/>
      <c r="P81" s="94"/>
      <c r="Q81" s="93"/>
      <c r="R81" s="93"/>
      <c r="S81" s="93"/>
      <c r="T81" s="12"/>
      <c r="U81" s="1" t="s">
        <v>256</v>
      </c>
      <c r="V81" s="1" t="s">
        <v>257</v>
      </c>
      <c r="W81" s="15">
        <v>56660</v>
      </c>
      <c r="X81" s="15"/>
      <c r="Y81" s="1"/>
      <c r="Z81" s="17"/>
    </row>
    <row r="82" spans="1:26" ht="20" x14ac:dyDescent="0.35">
      <c r="A82" s="53"/>
      <c r="B82" s="45"/>
      <c r="C82" s="54"/>
      <c r="D82" s="55"/>
      <c r="E82" s="55"/>
      <c r="F82" s="55"/>
      <c r="G82" s="55"/>
      <c r="H82" s="55"/>
      <c r="I82" s="55"/>
      <c r="J82" s="55"/>
      <c r="K82" s="55"/>
      <c r="L82" s="55"/>
      <c r="M82" s="55"/>
      <c r="N82" s="55"/>
      <c r="O82" s="55"/>
      <c r="P82" s="55"/>
      <c r="Q82" s="55"/>
      <c r="R82" s="55"/>
      <c r="S82" s="55"/>
      <c r="T82" s="55"/>
      <c r="U82" s="53"/>
      <c r="V82" s="53"/>
      <c r="W82" s="67">
        <f>W64+W65+W66+W67+W68+W69+W70+W71+W72+W73+W75+W76+W77+W78+W79+W80+W81</f>
        <v>1036955</v>
      </c>
      <c r="X82" s="56"/>
      <c r="Y82" s="53"/>
      <c r="Z82" s="57"/>
    </row>
    <row r="83" spans="1:26" ht="15" x14ac:dyDescent="0.35">
      <c r="A83" s="222" t="s">
        <v>95</v>
      </c>
      <c r="B83" s="223"/>
      <c r="C83" s="223"/>
      <c r="D83" s="223"/>
      <c r="E83" s="223"/>
      <c r="F83" s="223"/>
      <c r="G83" s="223"/>
      <c r="H83" s="223"/>
      <c r="I83" s="223"/>
      <c r="J83" s="223"/>
      <c r="K83" s="223"/>
      <c r="L83" s="223"/>
      <c r="M83" s="223"/>
      <c r="N83" s="223"/>
      <c r="O83" s="223"/>
      <c r="P83" s="223"/>
      <c r="Q83" s="223"/>
      <c r="R83" s="223"/>
      <c r="S83" s="223"/>
      <c r="T83" s="223"/>
      <c r="U83" s="223"/>
      <c r="V83" s="223"/>
      <c r="W83" s="223"/>
      <c r="X83" s="223"/>
      <c r="Y83" s="223"/>
      <c r="Z83" s="224"/>
    </row>
    <row r="84" spans="1:26" ht="15.5" x14ac:dyDescent="0.35">
      <c r="A84" s="225" t="s">
        <v>96</v>
      </c>
      <c r="B84" s="226"/>
      <c r="C84" s="226"/>
      <c r="D84" s="226"/>
      <c r="E84" s="226"/>
      <c r="F84" s="226"/>
      <c r="G84" s="226"/>
      <c r="H84" s="226"/>
      <c r="I84" s="226"/>
      <c r="J84" s="226"/>
      <c r="K84" s="226"/>
      <c r="L84" s="226"/>
      <c r="M84" s="226"/>
      <c r="N84" s="226"/>
      <c r="O84" s="226"/>
      <c r="P84" s="226"/>
      <c r="Q84" s="226"/>
      <c r="R84" s="226"/>
      <c r="S84" s="226"/>
      <c r="T84" s="226"/>
      <c r="U84" s="226"/>
      <c r="V84" s="226"/>
      <c r="W84" s="226"/>
      <c r="X84" s="226"/>
      <c r="Y84" s="226"/>
      <c r="Z84" s="227"/>
    </row>
    <row r="85" spans="1:26" ht="46.5" x14ac:dyDescent="0.35">
      <c r="A85" s="2" t="s">
        <v>223</v>
      </c>
      <c r="B85" s="2" t="s">
        <v>224</v>
      </c>
      <c r="C85" s="1" t="s">
        <v>98</v>
      </c>
      <c r="D85" s="24"/>
      <c r="E85" s="106"/>
      <c r="F85" s="106"/>
      <c r="G85" s="106"/>
      <c r="H85" s="19"/>
      <c r="I85" s="106"/>
      <c r="J85" s="106"/>
      <c r="K85" s="96"/>
      <c r="L85" s="22"/>
      <c r="M85" s="96"/>
      <c r="N85" s="96"/>
      <c r="O85" s="96"/>
      <c r="P85" s="22"/>
      <c r="Q85" s="96"/>
      <c r="R85" s="96"/>
      <c r="S85" s="96"/>
      <c r="T85" s="25"/>
      <c r="U85" s="2" t="s">
        <v>225</v>
      </c>
      <c r="V85" s="2" t="s">
        <v>226</v>
      </c>
      <c r="W85" s="15">
        <v>18000</v>
      </c>
      <c r="X85" s="15">
        <v>0</v>
      </c>
      <c r="Y85" s="2" t="s">
        <v>41</v>
      </c>
      <c r="Z85" s="16" t="s">
        <v>36</v>
      </c>
    </row>
    <row r="86" spans="1:26" ht="62" x14ac:dyDescent="0.35">
      <c r="A86" s="2" t="s">
        <v>227</v>
      </c>
      <c r="B86" s="2" t="s">
        <v>228</v>
      </c>
      <c r="C86" s="1" t="s">
        <v>98</v>
      </c>
      <c r="D86" s="24"/>
      <c r="E86" s="10"/>
      <c r="F86" s="10"/>
      <c r="G86" s="10"/>
      <c r="H86" s="19"/>
      <c r="I86" s="10"/>
      <c r="J86" s="106"/>
      <c r="K86" s="106"/>
      <c r="L86" s="22"/>
      <c r="M86" s="22"/>
      <c r="N86" s="96"/>
      <c r="O86" s="96"/>
      <c r="P86" s="22"/>
      <c r="Q86" s="96"/>
      <c r="R86" s="96"/>
      <c r="S86" s="96"/>
      <c r="T86" s="25"/>
      <c r="U86" s="2" t="s">
        <v>100</v>
      </c>
      <c r="V86" s="2" t="s">
        <v>99</v>
      </c>
      <c r="W86" s="15">
        <v>225000</v>
      </c>
      <c r="X86" s="169">
        <v>600000</v>
      </c>
      <c r="Y86" s="2" t="s">
        <v>41</v>
      </c>
      <c r="Z86" s="16" t="s">
        <v>36</v>
      </c>
    </row>
    <row r="87" spans="1:26" ht="31" x14ac:dyDescent="0.35">
      <c r="A87" s="2" t="s">
        <v>348</v>
      </c>
      <c r="B87" s="2" t="s">
        <v>101</v>
      </c>
      <c r="C87" s="1" t="s">
        <v>98</v>
      </c>
      <c r="D87" s="24"/>
      <c r="E87" s="10"/>
      <c r="F87" s="10"/>
      <c r="G87" s="184"/>
      <c r="H87" s="19"/>
      <c r="I87" s="10"/>
      <c r="J87" s="10"/>
      <c r="K87" s="106"/>
      <c r="L87" s="22"/>
      <c r="M87" s="106"/>
      <c r="N87" s="106"/>
      <c r="O87" s="106"/>
      <c r="P87" s="22"/>
      <c r="Q87" s="106"/>
      <c r="R87" s="106"/>
      <c r="S87" s="106"/>
      <c r="T87" s="25"/>
      <c r="U87" s="2" t="s">
        <v>102</v>
      </c>
      <c r="V87" s="2"/>
      <c r="W87" s="15">
        <v>25000</v>
      </c>
      <c r="X87" s="15"/>
      <c r="Y87" s="2"/>
      <c r="Z87" s="16"/>
    </row>
    <row r="88" spans="1:26" ht="77.5" x14ac:dyDescent="0.35">
      <c r="A88" s="6" t="s">
        <v>379</v>
      </c>
      <c r="B88" s="7"/>
      <c r="C88" s="1"/>
      <c r="D88" s="22"/>
      <c r="E88" s="10"/>
      <c r="F88" s="10"/>
      <c r="G88" s="10"/>
      <c r="H88" s="19"/>
      <c r="I88" s="10"/>
      <c r="J88" s="10"/>
      <c r="K88" s="106"/>
      <c r="L88" s="22"/>
      <c r="M88" s="106"/>
      <c r="N88" s="106"/>
      <c r="O88" s="106"/>
      <c r="P88" s="22"/>
      <c r="Q88" s="106"/>
      <c r="R88" s="106"/>
      <c r="S88" s="106"/>
      <c r="T88" s="22"/>
      <c r="U88" s="7" t="s">
        <v>349</v>
      </c>
      <c r="V88" s="7"/>
      <c r="W88" s="21">
        <v>10000</v>
      </c>
      <c r="X88" s="21"/>
      <c r="Y88" s="7"/>
      <c r="Z88" s="16"/>
    </row>
    <row r="89" spans="1:26" ht="50" customHeight="1" x14ac:dyDescent="0.35">
      <c r="A89" s="4"/>
      <c r="B89" s="8"/>
      <c r="C89" s="1"/>
      <c r="D89" s="68"/>
      <c r="E89" s="96"/>
      <c r="F89" s="96"/>
      <c r="G89" s="96"/>
      <c r="H89" s="68"/>
      <c r="I89" s="93"/>
      <c r="J89" s="93"/>
      <c r="K89" s="93"/>
      <c r="L89" s="68"/>
      <c r="M89" s="93"/>
      <c r="N89" s="93"/>
      <c r="O89" s="93"/>
      <c r="P89" s="68"/>
      <c r="Q89" s="93"/>
      <c r="R89" s="93"/>
      <c r="S89" s="93"/>
      <c r="T89" s="68"/>
      <c r="U89" s="8"/>
      <c r="V89" s="8"/>
      <c r="W89" s="63">
        <f>W85+W86+W87+W88</f>
        <v>278000</v>
      </c>
      <c r="X89" s="8"/>
      <c r="Y89" s="8"/>
      <c r="Z89" s="69"/>
    </row>
    <row r="90" spans="1:26" ht="15.5" x14ac:dyDescent="0.35">
      <c r="A90" s="75" t="s">
        <v>103</v>
      </c>
      <c r="B90" s="76"/>
      <c r="C90" s="1"/>
      <c r="D90" s="76"/>
      <c r="E90" s="81"/>
      <c r="F90" s="81"/>
      <c r="G90" s="81"/>
      <c r="H90" s="76"/>
      <c r="I90" s="76"/>
      <c r="J90" s="76"/>
      <c r="K90" s="76"/>
      <c r="L90" s="76"/>
      <c r="M90" s="76"/>
      <c r="N90" s="76"/>
      <c r="O90" s="76"/>
      <c r="P90" s="76"/>
      <c r="Q90" s="76"/>
      <c r="R90" s="76"/>
      <c r="S90" s="76"/>
      <c r="T90" s="76"/>
      <c r="U90" s="76"/>
      <c r="V90" s="76"/>
      <c r="W90" s="76"/>
      <c r="X90" s="76"/>
      <c r="Y90" s="76"/>
      <c r="Z90" s="77"/>
    </row>
    <row r="91" spans="1:26" ht="62" x14ac:dyDescent="0.35">
      <c r="A91" s="2" t="s">
        <v>230</v>
      </c>
      <c r="B91" s="2" t="s">
        <v>231</v>
      </c>
      <c r="C91" s="76"/>
      <c r="D91" s="13"/>
      <c r="E91" s="10"/>
      <c r="F91" s="10"/>
      <c r="G91" s="10"/>
      <c r="H91" s="13"/>
      <c r="I91" s="10"/>
      <c r="J91" s="10"/>
      <c r="K91" s="106"/>
      <c r="L91" s="13"/>
      <c r="M91" s="106"/>
      <c r="N91" s="106"/>
      <c r="O91" s="106"/>
      <c r="P91" s="13"/>
      <c r="Q91" s="106"/>
      <c r="R91" s="106"/>
      <c r="S91" s="106"/>
      <c r="T91" s="13"/>
      <c r="U91" s="2" t="s">
        <v>251</v>
      </c>
      <c r="V91" s="2" t="s">
        <v>229</v>
      </c>
      <c r="W91" s="15">
        <v>4000</v>
      </c>
      <c r="X91" s="21">
        <v>0</v>
      </c>
      <c r="Y91" s="2" t="s">
        <v>41</v>
      </c>
      <c r="Z91" s="16" t="s">
        <v>36</v>
      </c>
    </row>
    <row r="92" spans="1:26" ht="20" x14ac:dyDescent="0.35">
      <c r="A92" s="4"/>
      <c r="B92" s="8"/>
      <c r="C92" s="1"/>
      <c r="D92" s="68"/>
      <c r="E92" s="96"/>
      <c r="F92" s="96"/>
      <c r="G92" s="96"/>
      <c r="H92" s="68"/>
      <c r="I92" s="93"/>
      <c r="J92" s="93"/>
      <c r="K92" s="93"/>
      <c r="L92" s="68"/>
      <c r="M92" s="93"/>
      <c r="N92" s="93"/>
      <c r="O92" s="93"/>
      <c r="P92" s="68"/>
      <c r="Q92" s="93"/>
      <c r="R92" s="93"/>
      <c r="S92" s="93"/>
      <c r="T92" s="68"/>
      <c r="U92" s="8"/>
      <c r="V92" s="8"/>
      <c r="W92" s="63">
        <f>+W91</f>
        <v>4000</v>
      </c>
      <c r="X92" s="8"/>
      <c r="Y92" s="8"/>
      <c r="Z92" s="69"/>
    </row>
    <row r="93" spans="1:26" ht="15.5" x14ac:dyDescent="0.35">
      <c r="A93" s="75" t="s">
        <v>104</v>
      </c>
      <c r="B93" s="76"/>
      <c r="C93" s="1" t="s">
        <v>39</v>
      </c>
      <c r="D93" s="76"/>
      <c r="E93" s="76"/>
      <c r="F93" s="76"/>
      <c r="G93" s="76"/>
      <c r="H93" s="76"/>
      <c r="I93" s="76"/>
      <c r="J93" s="76"/>
      <c r="K93" s="76"/>
      <c r="L93" s="76"/>
      <c r="M93" s="76"/>
      <c r="N93" s="76"/>
      <c r="O93" s="76"/>
      <c r="P93" s="76"/>
      <c r="Q93" s="76"/>
      <c r="R93" s="76"/>
      <c r="S93" s="76"/>
      <c r="T93" s="76"/>
      <c r="U93" s="76"/>
      <c r="V93" s="76"/>
      <c r="W93" s="76"/>
      <c r="X93" s="76"/>
      <c r="Y93" s="76"/>
      <c r="Z93" s="77"/>
    </row>
    <row r="94" spans="1:26" s="191" customFormat="1" ht="80" customHeight="1" x14ac:dyDescent="0.35">
      <c r="A94" s="42" t="s">
        <v>233</v>
      </c>
      <c r="B94" s="42" t="s">
        <v>232</v>
      </c>
      <c r="C94" s="42" t="s">
        <v>39</v>
      </c>
      <c r="D94" s="187"/>
      <c r="E94" s="42"/>
      <c r="F94" s="42"/>
      <c r="G94" s="42"/>
      <c r="H94" s="188"/>
      <c r="I94" s="42"/>
      <c r="J94" s="42"/>
      <c r="K94" s="13"/>
      <c r="L94" s="13"/>
      <c r="M94" s="13"/>
      <c r="N94" s="13"/>
      <c r="O94" s="13"/>
      <c r="P94" s="13"/>
      <c r="Q94" s="13"/>
      <c r="R94" s="13"/>
      <c r="S94" s="10"/>
      <c r="T94" s="13"/>
      <c r="U94" s="42" t="s">
        <v>105</v>
      </c>
      <c r="V94" s="42"/>
      <c r="W94" s="41">
        <v>300000</v>
      </c>
      <c r="X94" s="189"/>
      <c r="Y94" s="42"/>
      <c r="Z94" s="190" t="s">
        <v>36</v>
      </c>
    </row>
    <row r="95" spans="1:26" ht="37.5" customHeight="1" x14ac:dyDescent="0.35">
      <c r="A95" s="4"/>
      <c r="B95" s="8"/>
      <c r="C95" s="1"/>
      <c r="D95" s="14"/>
      <c r="E95" s="96"/>
      <c r="F95" s="96"/>
      <c r="G95" s="96"/>
      <c r="H95" s="14"/>
      <c r="I95" s="96"/>
      <c r="J95" s="96"/>
      <c r="K95" s="96"/>
      <c r="L95" s="14"/>
      <c r="M95" s="96"/>
      <c r="N95" s="96"/>
      <c r="O95" s="96"/>
      <c r="P95" s="14"/>
      <c r="Q95" s="96"/>
      <c r="R95" s="96"/>
      <c r="S95" s="96"/>
      <c r="T95" s="14"/>
      <c r="U95" s="8"/>
      <c r="V95" s="7"/>
      <c r="W95" s="66">
        <f>+W94</f>
        <v>300000</v>
      </c>
      <c r="X95" s="21"/>
      <c r="Y95" s="7"/>
      <c r="Z95" s="16"/>
    </row>
    <row r="96" spans="1:26" ht="15.5" x14ac:dyDescent="0.35">
      <c r="A96" s="78" t="s">
        <v>106</v>
      </c>
      <c r="B96" s="79"/>
      <c r="C96" s="1" t="s">
        <v>39</v>
      </c>
      <c r="D96" s="79"/>
      <c r="E96" s="79"/>
      <c r="F96" s="79"/>
      <c r="G96" s="79"/>
      <c r="H96" s="79"/>
      <c r="I96" s="79"/>
      <c r="J96" s="79"/>
      <c r="K96" s="79"/>
      <c r="L96" s="79"/>
      <c r="M96" s="79"/>
      <c r="N96" s="79"/>
      <c r="O96" s="79"/>
      <c r="P96" s="79"/>
      <c r="Q96" s="79"/>
      <c r="R96" s="79"/>
      <c r="S96" s="79"/>
      <c r="T96" s="79"/>
      <c r="U96" s="79"/>
      <c r="V96" s="79"/>
      <c r="W96" s="79"/>
      <c r="X96" s="79"/>
      <c r="Y96" s="79"/>
      <c r="Z96" s="80"/>
    </row>
    <row r="97" spans="1:29" ht="15.5" x14ac:dyDescent="0.35">
      <c r="A97" s="75" t="s">
        <v>107</v>
      </c>
      <c r="B97" s="76"/>
      <c r="C97" s="76"/>
      <c r="D97" s="76"/>
      <c r="E97" s="76"/>
      <c r="F97" s="76"/>
      <c r="G97" s="76"/>
      <c r="H97" s="76"/>
      <c r="I97" s="76"/>
      <c r="J97" s="76"/>
      <c r="K97" s="76"/>
      <c r="L97" s="76"/>
      <c r="M97" s="76"/>
      <c r="N97" s="76"/>
      <c r="O97" s="76"/>
      <c r="P97" s="76"/>
      <c r="Q97" s="76"/>
      <c r="R97" s="76"/>
      <c r="S97" s="76"/>
      <c r="T97" s="76"/>
      <c r="U97" s="76"/>
      <c r="V97" s="76"/>
      <c r="W97" s="76"/>
      <c r="X97" s="76"/>
      <c r="Y97" s="76"/>
      <c r="Z97" s="77"/>
      <c r="AC97" s="11">
        <f>216000-85000</f>
        <v>131000</v>
      </c>
    </row>
    <row r="98" spans="1:29" ht="99.5" customHeight="1" x14ac:dyDescent="0.35">
      <c r="A98" s="1" t="s">
        <v>108</v>
      </c>
      <c r="B98" s="1" t="s">
        <v>109</v>
      </c>
      <c r="C98" s="1" t="s">
        <v>39</v>
      </c>
      <c r="D98" s="47"/>
      <c r="E98" s="42"/>
      <c r="F98" s="42"/>
      <c r="G98" s="42"/>
      <c r="H98" s="14"/>
      <c r="I98" s="42"/>
      <c r="J98" s="42"/>
      <c r="K98" s="94"/>
      <c r="L98" s="14"/>
      <c r="M98" s="94"/>
      <c r="N98" s="94"/>
      <c r="O98" s="94"/>
      <c r="P98" s="14"/>
      <c r="Q98" s="94"/>
      <c r="R98" s="94"/>
      <c r="S98" s="94"/>
      <c r="T98" s="48"/>
      <c r="U98" s="1" t="s">
        <v>110</v>
      </c>
      <c r="V98" s="1" t="s">
        <v>111</v>
      </c>
      <c r="W98" s="1">
        <v>15000</v>
      </c>
      <c r="X98" s="1">
        <v>0</v>
      </c>
      <c r="Y98" s="1" t="s">
        <v>41</v>
      </c>
      <c r="Z98" s="16" t="s">
        <v>36</v>
      </c>
    </row>
    <row r="99" spans="1:29" ht="124" customHeight="1" x14ac:dyDescent="0.35">
      <c r="A99" s="1" t="s">
        <v>112</v>
      </c>
      <c r="B99" s="1" t="s">
        <v>113</v>
      </c>
      <c r="C99" s="1" t="s">
        <v>39</v>
      </c>
      <c r="D99" s="47"/>
      <c r="E99" s="42"/>
      <c r="F99" s="42"/>
      <c r="G99" s="42"/>
      <c r="H99" s="14"/>
      <c r="I99" s="42"/>
      <c r="J99" s="42"/>
      <c r="K99" s="94"/>
      <c r="L99" s="14"/>
      <c r="M99" s="94"/>
      <c r="N99" s="94"/>
      <c r="O99" s="94"/>
      <c r="P99" s="14"/>
      <c r="Q99" s="94"/>
      <c r="R99" s="94"/>
      <c r="S99" s="94"/>
      <c r="T99" s="48"/>
      <c r="U99" s="1" t="s">
        <v>114</v>
      </c>
      <c r="V99" s="1" t="s">
        <v>115</v>
      </c>
      <c r="W99" s="1">
        <v>25000</v>
      </c>
      <c r="X99" s="1">
        <v>0</v>
      </c>
      <c r="Y99" s="1" t="s">
        <v>41</v>
      </c>
      <c r="Z99" s="1" t="s">
        <v>36</v>
      </c>
    </row>
    <row r="100" spans="1:29" ht="21" customHeight="1" x14ac:dyDescent="0.35">
      <c r="A100" s="4"/>
      <c r="B100" s="8"/>
      <c r="C100" s="1"/>
      <c r="D100" s="14"/>
      <c r="E100" s="93"/>
      <c r="F100" s="93"/>
      <c r="G100" s="93"/>
      <c r="H100" s="14"/>
      <c r="I100" s="93"/>
      <c r="J100" s="93"/>
      <c r="K100" s="93"/>
      <c r="L100" s="14"/>
      <c r="M100" s="93"/>
      <c r="N100" s="93"/>
      <c r="O100" s="93"/>
      <c r="P100" s="14"/>
      <c r="Q100" s="93"/>
      <c r="R100" s="93"/>
      <c r="S100" s="93"/>
      <c r="T100" s="14"/>
      <c r="U100" s="8"/>
      <c r="V100" s="8"/>
      <c r="W100" s="63">
        <f>W98+W99</f>
        <v>40000</v>
      </c>
      <c r="X100" s="8"/>
      <c r="Y100" s="8"/>
      <c r="Z100" s="69"/>
    </row>
    <row r="101" spans="1:29" ht="50" customHeight="1" x14ac:dyDescent="0.35">
      <c r="A101" s="75" t="s">
        <v>116</v>
      </c>
      <c r="B101" s="76"/>
      <c r="C101" s="76"/>
      <c r="D101" s="76"/>
      <c r="E101" s="76"/>
      <c r="F101" s="76"/>
      <c r="G101" s="76"/>
      <c r="H101" s="76"/>
      <c r="I101" s="76"/>
      <c r="J101" s="76"/>
      <c r="K101" s="76"/>
      <c r="L101" s="76"/>
      <c r="M101" s="76"/>
      <c r="N101" s="76"/>
      <c r="O101" s="76"/>
      <c r="P101" s="76"/>
      <c r="Q101" s="76"/>
      <c r="R101" s="76"/>
      <c r="S101" s="76"/>
      <c r="T101" s="76"/>
      <c r="U101" s="76"/>
      <c r="V101" s="76"/>
      <c r="W101" s="76"/>
      <c r="X101" s="172">
        <f>X102</f>
        <v>29331</v>
      </c>
      <c r="Y101" s="76"/>
      <c r="Z101" s="77"/>
    </row>
    <row r="102" spans="1:29" ht="62" x14ac:dyDescent="0.35">
      <c r="A102" s="10" t="s">
        <v>117</v>
      </c>
      <c r="B102" s="2" t="s">
        <v>234</v>
      </c>
      <c r="C102" s="1" t="s">
        <v>39</v>
      </c>
      <c r="D102" s="13"/>
      <c r="E102" s="42"/>
      <c r="F102" s="42"/>
      <c r="G102" s="42"/>
      <c r="H102" s="13"/>
      <c r="I102" s="42"/>
      <c r="J102" s="42"/>
      <c r="K102" s="94"/>
      <c r="L102" s="13"/>
      <c r="M102" s="94"/>
      <c r="N102" s="94"/>
      <c r="O102" s="94"/>
      <c r="P102" s="13"/>
      <c r="Q102" s="94"/>
      <c r="R102" s="94"/>
      <c r="S102" s="94"/>
      <c r="T102" s="13"/>
      <c r="U102" s="2" t="s">
        <v>118</v>
      </c>
      <c r="V102" s="2" t="s">
        <v>119</v>
      </c>
      <c r="W102" s="1">
        <v>5000</v>
      </c>
      <c r="X102" s="169">
        <v>29331</v>
      </c>
      <c r="Y102" s="2" t="s">
        <v>41</v>
      </c>
      <c r="Z102" s="2" t="s">
        <v>36</v>
      </c>
    </row>
    <row r="103" spans="1:29" ht="20" x14ac:dyDescent="0.35">
      <c r="A103" s="4"/>
      <c r="B103" s="8"/>
      <c r="C103" s="1"/>
      <c r="D103" s="14"/>
      <c r="E103" s="93"/>
      <c r="F103" s="93"/>
      <c r="G103" s="93"/>
      <c r="H103" s="14"/>
      <c r="I103" s="93"/>
      <c r="J103" s="93"/>
      <c r="K103" s="93"/>
      <c r="L103" s="14"/>
      <c r="M103" s="93"/>
      <c r="N103" s="93"/>
      <c r="O103" s="93"/>
      <c r="P103" s="14"/>
      <c r="Q103" s="93"/>
      <c r="R103" s="93"/>
      <c r="S103" s="93"/>
      <c r="T103" s="14"/>
      <c r="U103" s="8"/>
      <c r="V103" s="8"/>
      <c r="W103" s="63">
        <f>W102</f>
        <v>5000</v>
      </c>
      <c r="X103" s="8"/>
      <c r="Y103" s="8"/>
      <c r="Z103" s="69"/>
    </row>
    <row r="104" spans="1:29" ht="15" x14ac:dyDescent="0.35">
      <c r="A104" s="78" t="s">
        <v>120</v>
      </c>
      <c r="B104" s="79"/>
      <c r="C104" s="40"/>
      <c r="D104" s="79"/>
      <c r="E104" s="79"/>
      <c r="F104" s="79"/>
      <c r="G104" s="79"/>
      <c r="H104" s="79"/>
      <c r="I104" s="79"/>
      <c r="J104" s="79"/>
      <c r="K104" s="79"/>
      <c r="L104" s="79"/>
      <c r="M104" s="79"/>
      <c r="N104" s="79"/>
      <c r="O104" s="79"/>
      <c r="P104" s="79"/>
      <c r="Q104" s="79"/>
      <c r="R104" s="79"/>
      <c r="S104" s="79"/>
      <c r="T104" s="79"/>
      <c r="U104" s="79"/>
      <c r="V104" s="79"/>
      <c r="W104" s="79"/>
      <c r="X104" s="79"/>
      <c r="Y104" s="79"/>
      <c r="Z104" s="80"/>
    </row>
    <row r="105" spans="1:29" s="31" customFormat="1" ht="31" x14ac:dyDescent="0.35">
      <c r="A105" s="82" t="s">
        <v>344</v>
      </c>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4"/>
    </row>
    <row r="106" spans="1:29" ht="46.5" x14ac:dyDescent="0.35">
      <c r="A106" s="2" t="s">
        <v>121</v>
      </c>
      <c r="B106" s="2" t="s">
        <v>235</v>
      </c>
      <c r="C106" s="1" t="s">
        <v>39</v>
      </c>
      <c r="D106" s="24"/>
      <c r="E106" s="94"/>
      <c r="F106" s="94"/>
      <c r="G106" s="94"/>
      <c r="H106" s="22"/>
      <c r="I106" s="94"/>
      <c r="J106" s="94"/>
      <c r="K106" s="94"/>
      <c r="L106" s="22"/>
      <c r="M106" s="94"/>
      <c r="N106" s="94"/>
      <c r="O106" s="94"/>
      <c r="P106" s="22"/>
      <c r="Q106" s="94"/>
      <c r="R106" s="94"/>
      <c r="S106" s="94"/>
      <c r="T106" s="25"/>
      <c r="U106" s="2" t="s">
        <v>122</v>
      </c>
      <c r="V106" s="96" t="s">
        <v>123</v>
      </c>
      <c r="W106" s="1">
        <v>23200</v>
      </c>
      <c r="X106" s="2">
        <v>0</v>
      </c>
      <c r="Y106" s="2" t="s">
        <v>41</v>
      </c>
      <c r="Z106" s="2" t="s">
        <v>36</v>
      </c>
    </row>
    <row r="107" spans="1:29" ht="31" x14ac:dyDescent="0.35">
      <c r="A107" s="2" t="s">
        <v>338</v>
      </c>
      <c r="B107" s="2" t="s">
        <v>235</v>
      </c>
      <c r="C107" s="1" t="s">
        <v>39</v>
      </c>
      <c r="D107" s="24"/>
      <c r="E107" s="94"/>
      <c r="F107" s="94"/>
      <c r="G107" s="94"/>
      <c r="H107" s="22"/>
      <c r="I107" s="94"/>
      <c r="J107" s="94"/>
      <c r="K107" s="94"/>
      <c r="L107" s="22"/>
      <c r="M107" s="94"/>
      <c r="N107" s="94"/>
      <c r="O107" s="94"/>
      <c r="P107" s="22"/>
      <c r="Q107" s="94"/>
      <c r="R107" s="94"/>
      <c r="S107" s="94"/>
      <c r="T107" s="25"/>
      <c r="U107" s="2" t="s">
        <v>124</v>
      </c>
      <c r="V107" s="96" t="s">
        <v>125</v>
      </c>
      <c r="W107" s="1">
        <v>5000</v>
      </c>
      <c r="X107" s="2">
        <v>0</v>
      </c>
      <c r="Y107" s="2" t="s">
        <v>41</v>
      </c>
      <c r="Z107" s="2" t="s">
        <v>36</v>
      </c>
    </row>
    <row r="108" spans="1:29" s="31" customFormat="1" ht="31" x14ac:dyDescent="0.35">
      <c r="A108" s="1" t="s">
        <v>126</v>
      </c>
      <c r="B108" s="2" t="s">
        <v>235</v>
      </c>
      <c r="C108" s="1" t="s">
        <v>39</v>
      </c>
      <c r="D108" s="47"/>
      <c r="E108" s="94"/>
      <c r="F108" s="94"/>
      <c r="G108" s="94"/>
      <c r="H108" s="14"/>
      <c r="I108" s="94"/>
      <c r="J108" s="94"/>
      <c r="K108" s="94"/>
      <c r="L108" s="14"/>
      <c r="M108" s="94"/>
      <c r="N108" s="94"/>
      <c r="O108" s="94"/>
      <c r="P108" s="14"/>
      <c r="Q108" s="94"/>
      <c r="R108" s="94"/>
      <c r="S108" s="94"/>
      <c r="T108" s="48"/>
      <c r="U108" s="1" t="s">
        <v>127</v>
      </c>
      <c r="V108" s="93"/>
      <c r="W108" s="1">
        <v>24960</v>
      </c>
      <c r="X108" s="1">
        <v>0</v>
      </c>
      <c r="Y108" s="1" t="s">
        <v>41</v>
      </c>
      <c r="Z108" s="1" t="s">
        <v>36</v>
      </c>
    </row>
    <row r="109" spans="1:29" s="31" customFormat="1" ht="30.65" customHeight="1" x14ac:dyDescent="0.35">
      <c r="A109" s="1" t="s">
        <v>128</v>
      </c>
      <c r="B109" s="2" t="s">
        <v>235</v>
      </c>
      <c r="C109" s="1" t="s">
        <v>39</v>
      </c>
      <c r="D109" s="47"/>
      <c r="E109" s="94"/>
      <c r="F109" s="94"/>
      <c r="G109" s="94"/>
      <c r="H109" s="14"/>
      <c r="I109" s="94"/>
      <c r="J109" s="94"/>
      <c r="K109" s="94"/>
      <c r="L109" s="14"/>
      <c r="M109" s="94"/>
      <c r="N109" s="94"/>
      <c r="O109" s="94"/>
      <c r="P109" s="14"/>
      <c r="Q109" s="94"/>
      <c r="R109" s="94"/>
      <c r="S109" s="94"/>
      <c r="T109" s="48"/>
      <c r="U109" s="1" t="s">
        <v>129</v>
      </c>
      <c r="V109" s="93"/>
      <c r="W109" s="1">
        <v>20800</v>
      </c>
      <c r="X109" s="1">
        <v>0</v>
      </c>
      <c r="Y109" s="1" t="s">
        <v>41</v>
      </c>
      <c r="Z109" s="1" t="s">
        <v>36</v>
      </c>
    </row>
    <row r="110" spans="1:29" s="31" customFormat="1" ht="80" customHeight="1" x14ac:dyDescent="0.35">
      <c r="A110" s="1" t="s">
        <v>339</v>
      </c>
      <c r="B110" s="1" t="s">
        <v>130</v>
      </c>
      <c r="C110" s="1" t="s">
        <v>39</v>
      </c>
      <c r="D110" s="47"/>
      <c r="E110" s="94"/>
      <c r="F110" s="94"/>
      <c r="G110" s="94"/>
      <c r="H110" s="14"/>
      <c r="I110" s="94"/>
      <c r="J110" s="94"/>
      <c r="K110" s="94"/>
      <c r="L110" s="14"/>
      <c r="M110" s="94"/>
      <c r="N110" s="94"/>
      <c r="O110" s="94"/>
      <c r="P110" s="14"/>
      <c r="Q110" s="94"/>
      <c r="R110" s="94"/>
      <c r="S110" s="94"/>
      <c r="T110" s="48"/>
      <c r="U110" s="1" t="s">
        <v>131</v>
      </c>
      <c r="V110" s="93"/>
      <c r="W110" s="1">
        <v>36960</v>
      </c>
      <c r="X110" s="1"/>
      <c r="Y110" s="1"/>
      <c r="Z110" s="1"/>
    </row>
    <row r="111" spans="1:29" ht="70.25" customHeight="1" x14ac:dyDescent="0.35">
      <c r="A111" s="2" t="s">
        <v>132</v>
      </c>
      <c r="B111" s="2" t="s">
        <v>237</v>
      </c>
      <c r="C111" s="1" t="s">
        <v>39</v>
      </c>
      <c r="D111" s="28"/>
      <c r="E111" s="42"/>
      <c r="F111" s="42"/>
      <c r="G111" s="42"/>
      <c r="H111" s="22"/>
      <c r="I111" s="42"/>
      <c r="J111" s="42"/>
      <c r="K111" s="94"/>
      <c r="L111" s="22"/>
      <c r="M111" s="106"/>
      <c r="N111" s="106"/>
      <c r="O111" s="106"/>
      <c r="P111" s="22"/>
      <c r="Q111" s="106"/>
      <c r="R111" s="106"/>
      <c r="S111" s="106"/>
      <c r="T111" s="25"/>
      <c r="U111" s="2" t="s">
        <v>133</v>
      </c>
      <c r="V111" s="96" t="s">
        <v>134</v>
      </c>
      <c r="W111" s="1">
        <v>15000</v>
      </c>
      <c r="X111" s="2">
        <v>0</v>
      </c>
      <c r="Y111" s="2" t="s">
        <v>41</v>
      </c>
      <c r="Z111" s="2" t="s">
        <v>36</v>
      </c>
    </row>
    <row r="112" spans="1:29" ht="62" x14ac:dyDescent="0.35">
      <c r="A112" s="2" t="s">
        <v>236</v>
      </c>
      <c r="B112" s="2" t="s">
        <v>237</v>
      </c>
      <c r="C112" s="1" t="s">
        <v>39</v>
      </c>
      <c r="D112" s="22"/>
      <c r="E112" s="94"/>
      <c r="F112" s="94"/>
      <c r="G112" s="94"/>
      <c r="H112" s="22"/>
      <c r="I112" s="94"/>
      <c r="J112" s="94"/>
      <c r="K112" s="94"/>
      <c r="L112" s="22"/>
      <c r="M112" s="94"/>
      <c r="N112" s="94"/>
      <c r="O112" s="94"/>
      <c r="P112" s="22"/>
      <c r="Q112" s="94"/>
      <c r="R112" s="94"/>
      <c r="S112" s="94"/>
      <c r="T112" s="22"/>
      <c r="U112" s="7" t="s">
        <v>380</v>
      </c>
      <c r="V112" s="2" t="s">
        <v>135</v>
      </c>
      <c r="W112" s="1">
        <v>14793</v>
      </c>
      <c r="X112" s="7">
        <v>0</v>
      </c>
      <c r="Y112" s="7" t="s">
        <v>41</v>
      </c>
      <c r="Z112" s="26" t="s">
        <v>36</v>
      </c>
    </row>
    <row r="113" spans="1:26" ht="46.5" x14ac:dyDescent="0.35">
      <c r="A113" s="6" t="s">
        <v>381</v>
      </c>
      <c r="B113" s="7"/>
      <c r="C113" s="1"/>
      <c r="D113" s="22"/>
      <c r="E113" s="94"/>
      <c r="F113" s="94"/>
      <c r="G113" s="94"/>
      <c r="H113" s="22"/>
      <c r="I113" s="94"/>
      <c r="J113" s="94"/>
      <c r="K113" s="94"/>
      <c r="L113" s="22"/>
      <c r="M113" s="94"/>
      <c r="N113" s="94"/>
      <c r="O113" s="94"/>
      <c r="P113" s="22"/>
      <c r="Q113" s="94"/>
      <c r="R113" s="94"/>
      <c r="S113" s="94"/>
      <c r="T113" s="22"/>
      <c r="U113" s="7" t="s">
        <v>382</v>
      </c>
      <c r="V113" s="2"/>
      <c r="W113" s="8">
        <v>30000</v>
      </c>
      <c r="X113" s="7"/>
      <c r="Y113" s="7"/>
      <c r="Z113" s="26"/>
    </row>
    <row r="114" spans="1:26" ht="20" x14ac:dyDescent="0.35">
      <c r="B114" s="7" t="s">
        <v>383</v>
      </c>
      <c r="C114" s="1" t="s">
        <v>39</v>
      </c>
      <c r="D114" s="22"/>
      <c r="E114" s="93"/>
      <c r="F114" s="93"/>
      <c r="G114" s="93"/>
      <c r="H114" s="22"/>
      <c r="I114" s="93"/>
      <c r="J114" s="93"/>
      <c r="K114" s="93"/>
      <c r="L114" s="22"/>
      <c r="M114" s="93"/>
      <c r="N114" s="93"/>
      <c r="O114" s="93"/>
      <c r="P114" s="22"/>
      <c r="Q114" s="93"/>
      <c r="R114" s="93"/>
      <c r="S114" s="93"/>
      <c r="T114" s="22"/>
      <c r="U114" s="7"/>
      <c r="V114" s="7"/>
      <c r="W114" s="63">
        <f>W106+W107+W108+W109+W110+W111+W112</f>
        <v>140713</v>
      </c>
      <c r="X114" s="7"/>
      <c r="Y114" s="7"/>
      <c r="Z114" s="26"/>
    </row>
    <row r="115" spans="1:26" ht="15" x14ac:dyDescent="0.35">
      <c r="A115" s="78" t="s">
        <v>136</v>
      </c>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80"/>
    </row>
    <row r="116" spans="1:26" ht="15.5" x14ac:dyDescent="0.35">
      <c r="A116" s="75" t="s">
        <v>137</v>
      </c>
      <c r="B116" s="76"/>
      <c r="C116" s="76"/>
      <c r="D116" s="76"/>
      <c r="E116" s="76"/>
      <c r="F116" s="76"/>
      <c r="G116" s="76"/>
      <c r="H116" s="76"/>
      <c r="I116" s="76"/>
      <c r="J116" s="76"/>
      <c r="K116" s="76"/>
      <c r="L116" s="76"/>
      <c r="M116" s="76"/>
      <c r="N116" s="76"/>
      <c r="O116" s="76"/>
      <c r="P116" s="76"/>
      <c r="Q116" s="76"/>
      <c r="R116" s="76"/>
      <c r="S116" s="76"/>
      <c r="T116" s="76"/>
      <c r="U116" s="76"/>
      <c r="V116" s="76"/>
      <c r="W116" s="76"/>
      <c r="X116" s="172">
        <f>SUM(X117:X119)</f>
        <v>82280</v>
      </c>
      <c r="Y116" s="76"/>
      <c r="Z116" s="77"/>
    </row>
    <row r="117" spans="1:26" ht="31" x14ac:dyDescent="0.35">
      <c r="A117" s="32" t="s">
        <v>138</v>
      </c>
      <c r="B117" s="2"/>
      <c r="C117" s="1" t="s">
        <v>39</v>
      </c>
      <c r="D117" s="13"/>
      <c r="E117" s="93"/>
      <c r="F117" s="93"/>
      <c r="G117" s="93"/>
      <c r="H117" s="13"/>
      <c r="I117" s="93"/>
      <c r="J117" s="93"/>
      <c r="K117" s="13"/>
      <c r="L117" s="13"/>
      <c r="M117" s="13"/>
      <c r="N117" s="13"/>
      <c r="O117" s="13"/>
      <c r="P117" s="13"/>
      <c r="Q117" s="13"/>
      <c r="R117" s="13"/>
      <c r="S117" s="13"/>
      <c r="T117" s="13"/>
      <c r="U117" s="2"/>
      <c r="V117" s="2"/>
      <c r="W117" s="21"/>
      <c r="X117" s="169">
        <v>22440</v>
      </c>
      <c r="Y117" s="2"/>
      <c r="Z117" s="16"/>
    </row>
    <row r="118" spans="1:26" ht="15.5" x14ac:dyDescent="0.35">
      <c r="A118" s="2" t="s">
        <v>139</v>
      </c>
      <c r="B118" s="2"/>
      <c r="C118" s="1" t="s">
        <v>39</v>
      </c>
      <c r="D118" s="13"/>
      <c r="E118" s="93"/>
      <c r="F118" s="93"/>
      <c r="G118" s="93"/>
      <c r="H118" s="13"/>
      <c r="I118" s="93"/>
      <c r="J118" s="93"/>
      <c r="K118" s="13"/>
      <c r="L118" s="13"/>
      <c r="M118" s="13"/>
      <c r="N118" s="13"/>
      <c r="O118" s="13"/>
      <c r="P118" s="13"/>
      <c r="Q118" s="13"/>
      <c r="R118" s="13"/>
      <c r="S118" s="13"/>
      <c r="T118" s="13"/>
      <c r="U118" s="2"/>
      <c r="V118" s="2"/>
      <c r="W118" s="21"/>
      <c r="X118" s="169">
        <v>29920</v>
      </c>
      <c r="Y118" s="2"/>
      <c r="Z118" s="16"/>
    </row>
    <row r="119" spans="1:26" ht="15.5" x14ac:dyDescent="0.35">
      <c r="A119" s="75" t="s">
        <v>140</v>
      </c>
      <c r="B119" s="76"/>
      <c r="C119" s="76"/>
      <c r="D119" s="76"/>
      <c r="E119" s="76"/>
      <c r="F119" s="76"/>
      <c r="G119" s="76"/>
      <c r="H119" s="76"/>
      <c r="I119" s="76"/>
      <c r="J119" s="76"/>
      <c r="K119" s="76"/>
      <c r="L119" s="76"/>
      <c r="M119" s="76"/>
      <c r="N119" s="76"/>
      <c r="O119" s="76"/>
      <c r="P119" s="76"/>
      <c r="Q119" s="76"/>
      <c r="R119" s="76"/>
      <c r="S119" s="76"/>
      <c r="T119" s="76"/>
      <c r="U119" s="76"/>
      <c r="V119" s="76"/>
      <c r="W119" s="76"/>
      <c r="X119" s="172">
        <f>X120</f>
        <v>29920</v>
      </c>
      <c r="Y119" s="76"/>
      <c r="Z119" s="77"/>
    </row>
    <row r="120" spans="1:26" ht="15.5" x14ac:dyDescent="0.35">
      <c r="A120" s="32" t="s">
        <v>141</v>
      </c>
      <c r="B120" s="2"/>
      <c r="C120" s="1" t="s">
        <v>39</v>
      </c>
      <c r="D120" s="13"/>
      <c r="E120" s="13"/>
      <c r="F120" s="13"/>
      <c r="G120" s="13"/>
      <c r="H120" s="13"/>
      <c r="I120" s="13"/>
      <c r="J120" s="13"/>
      <c r="K120" s="13"/>
      <c r="L120" s="13"/>
      <c r="M120" s="13"/>
      <c r="N120" s="13"/>
      <c r="O120" s="13"/>
      <c r="P120" s="13"/>
      <c r="Q120" s="13"/>
      <c r="R120" s="13"/>
      <c r="S120" s="13"/>
      <c r="T120" s="13"/>
      <c r="U120" s="2"/>
      <c r="V120" s="2"/>
      <c r="W120" s="21"/>
      <c r="X120" s="169">
        <v>29920</v>
      </c>
      <c r="Y120" s="2"/>
      <c r="Z120" s="16"/>
    </row>
    <row r="121" spans="1:26" ht="15.5" x14ac:dyDescent="0.35">
      <c r="A121" s="32" t="s">
        <v>142</v>
      </c>
      <c r="B121" s="2"/>
      <c r="C121" s="1" t="s">
        <v>39</v>
      </c>
      <c r="D121" s="13"/>
      <c r="E121" s="13"/>
      <c r="F121" s="13"/>
      <c r="G121" s="13"/>
      <c r="H121" s="13"/>
      <c r="I121" s="13"/>
      <c r="J121" s="13"/>
      <c r="K121" s="13"/>
      <c r="L121" s="13"/>
      <c r="M121" s="13"/>
      <c r="N121" s="13"/>
      <c r="O121" s="13"/>
      <c r="P121" s="13"/>
      <c r="Q121" s="13"/>
      <c r="R121" s="13"/>
      <c r="S121" s="13"/>
      <c r="T121" s="13"/>
      <c r="U121" s="2"/>
      <c r="V121" s="2"/>
      <c r="W121" s="21"/>
      <c r="X121" s="15">
        <v>0</v>
      </c>
      <c r="Y121" s="2"/>
      <c r="Z121" s="16"/>
    </row>
    <row r="122" spans="1:26" ht="15" x14ac:dyDescent="0.35">
      <c r="A122" s="78"/>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80"/>
    </row>
    <row r="123" spans="1:26" ht="15.5" x14ac:dyDescent="0.35">
      <c r="A123" s="75" t="s">
        <v>143</v>
      </c>
      <c r="B123" s="76"/>
      <c r="C123" s="76"/>
      <c r="D123" s="76"/>
      <c r="E123" s="76"/>
      <c r="F123" s="76"/>
      <c r="G123" s="76"/>
      <c r="H123" s="76"/>
      <c r="I123" s="76"/>
      <c r="J123" s="76"/>
      <c r="K123" s="76"/>
      <c r="L123" s="76"/>
      <c r="M123" s="76"/>
      <c r="N123" s="76"/>
      <c r="O123" s="76"/>
      <c r="P123" s="76"/>
      <c r="Q123" s="76"/>
      <c r="R123" s="76"/>
      <c r="S123" s="76"/>
      <c r="T123" s="76"/>
      <c r="U123" s="76"/>
      <c r="V123" s="76"/>
      <c r="W123" s="76"/>
      <c r="X123" s="172">
        <f>X124</f>
        <v>100000</v>
      </c>
      <c r="Y123" s="76"/>
      <c r="Z123" s="77"/>
    </row>
    <row r="124" spans="1:26" ht="96.65" customHeight="1" x14ac:dyDescent="0.35">
      <c r="A124" s="2" t="s">
        <v>144</v>
      </c>
      <c r="B124" s="2" t="s">
        <v>145</v>
      </c>
      <c r="C124" s="1" t="s">
        <v>39</v>
      </c>
      <c r="D124" s="24"/>
      <c r="E124" s="42"/>
      <c r="F124" s="42"/>
      <c r="G124" s="42"/>
      <c r="H124" s="22"/>
      <c r="I124" s="42"/>
      <c r="J124" s="42"/>
      <c r="K124" s="94"/>
      <c r="L124" s="22"/>
      <c r="M124" s="94"/>
      <c r="N124" s="94"/>
      <c r="O124" s="94"/>
      <c r="P124" s="22"/>
      <c r="Q124" s="94"/>
      <c r="R124" s="94"/>
      <c r="S124" s="94"/>
      <c r="T124" s="25"/>
      <c r="U124" s="10" t="s">
        <v>146</v>
      </c>
      <c r="V124" s="2" t="s">
        <v>147</v>
      </c>
      <c r="W124" s="42">
        <v>35000</v>
      </c>
      <c r="X124" s="169">
        <v>100000</v>
      </c>
      <c r="Y124" s="2" t="s">
        <v>41</v>
      </c>
      <c r="Z124" s="2" t="s">
        <v>36</v>
      </c>
    </row>
    <row r="125" spans="1:26" ht="48.65" customHeight="1" x14ac:dyDescent="0.35">
      <c r="A125" s="2" t="s">
        <v>148</v>
      </c>
      <c r="B125" s="2" t="s">
        <v>238</v>
      </c>
      <c r="C125" s="1" t="s">
        <v>39</v>
      </c>
      <c r="D125" s="24"/>
      <c r="E125" s="94"/>
      <c r="F125" s="94"/>
      <c r="G125" s="94"/>
      <c r="H125" s="22"/>
      <c r="I125" s="94"/>
      <c r="J125" s="94"/>
      <c r="K125" s="94"/>
      <c r="L125" s="22"/>
      <c r="M125" s="94"/>
      <c r="N125" s="94"/>
      <c r="O125" s="94"/>
      <c r="P125" s="22"/>
      <c r="Q125" s="94"/>
      <c r="R125" s="94"/>
      <c r="S125" s="94"/>
      <c r="T125" s="25"/>
      <c r="U125" s="2" t="s">
        <v>149</v>
      </c>
      <c r="V125" s="6"/>
      <c r="W125" s="1">
        <v>10000</v>
      </c>
      <c r="X125" s="7">
        <v>0</v>
      </c>
      <c r="Y125" s="2"/>
      <c r="Z125" s="26"/>
    </row>
    <row r="126" spans="1:26" ht="48.65" customHeight="1" x14ac:dyDescent="0.35">
      <c r="A126" s="6"/>
      <c r="B126" s="7"/>
      <c r="C126" s="1"/>
      <c r="D126" s="22"/>
      <c r="E126" s="93"/>
      <c r="F126" s="93"/>
      <c r="G126" s="93"/>
      <c r="H126" s="22"/>
      <c r="I126" s="93"/>
      <c r="J126" s="93"/>
      <c r="K126" s="93"/>
      <c r="L126" s="22"/>
      <c r="M126" s="93"/>
      <c r="N126" s="93"/>
      <c r="O126" s="93"/>
      <c r="P126" s="22"/>
      <c r="Q126" s="93"/>
      <c r="R126" s="93"/>
      <c r="S126" s="93"/>
      <c r="T126" s="22"/>
      <c r="U126" s="7"/>
      <c r="V126" s="7"/>
      <c r="W126" s="64">
        <f>W124+W125</f>
        <v>45000</v>
      </c>
      <c r="X126" s="2">
        <v>0</v>
      </c>
      <c r="Y126" s="2"/>
      <c r="Z126" s="2"/>
    </row>
    <row r="127" spans="1:26" ht="15.5" x14ac:dyDescent="0.35">
      <c r="A127" s="75" t="s">
        <v>150</v>
      </c>
      <c r="B127" s="76"/>
      <c r="C127" s="76"/>
      <c r="D127" s="76"/>
      <c r="E127" s="76"/>
      <c r="F127" s="76"/>
      <c r="G127" s="76"/>
      <c r="H127" s="76"/>
      <c r="I127" s="76"/>
      <c r="J127" s="76"/>
      <c r="K127" s="76"/>
      <c r="L127" s="76"/>
      <c r="M127" s="76"/>
      <c r="N127" s="76"/>
      <c r="O127" s="76"/>
      <c r="P127" s="76"/>
      <c r="Q127" s="76"/>
      <c r="R127" s="76"/>
      <c r="S127" s="76"/>
      <c r="T127" s="76"/>
      <c r="U127" s="76"/>
      <c r="V127" s="76"/>
      <c r="W127" s="76"/>
      <c r="X127" s="172">
        <f>X128</f>
        <v>275000</v>
      </c>
      <c r="Y127" s="76"/>
      <c r="Z127" s="77"/>
    </row>
    <row r="128" spans="1:26" ht="111" customHeight="1" x14ac:dyDescent="0.35">
      <c r="A128" s="32" t="s">
        <v>240</v>
      </c>
      <c r="B128" s="2" t="s">
        <v>239</v>
      </c>
      <c r="C128" s="1" t="s">
        <v>39</v>
      </c>
      <c r="D128" s="13"/>
      <c r="E128" s="10"/>
      <c r="F128" s="10"/>
      <c r="G128" s="10"/>
      <c r="H128" s="13"/>
      <c r="I128" s="10"/>
      <c r="J128" s="10"/>
      <c r="K128" s="13"/>
      <c r="L128" s="13"/>
      <c r="M128" s="106"/>
      <c r="N128" s="106"/>
      <c r="O128" s="106"/>
      <c r="P128" s="13"/>
      <c r="Q128" s="106"/>
      <c r="R128" s="106"/>
      <c r="S128" s="106"/>
      <c r="T128" s="13"/>
      <c r="U128" s="2" t="s">
        <v>151</v>
      </c>
      <c r="V128" s="2"/>
      <c r="W128" s="1">
        <v>40000</v>
      </c>
      <c r="X128" s="169">
        <v>275000</v>
      </c>
      <c r="Y128" s="2"/>
      <c r="Z128" s="16"/>
    </row>
    <row r="129" spans="1:27" ht="20" x14ac:dyDescent="0.35">
      <c r="A129" s="6"/>
      <c r="B129" s="7"/>
      <c r="C129" s="1"/>
      <c r="D129" s="22"/>
      <c r="E129" s="93"/>
      <c r="F129" s="93"/>
      <c r="G129" s="93"/>
      <c r="H129" s="22"/>
      <c r="I129" s="93"/>
      <c r="J129" s="93"/>
      <c r="K129" s="93"/>
      <c r="L129" s="22"/>
      <c r="M129" s="93"/>
      <c r="N129" s="93"/>
      <c r="O129" s="93"/>
      <c r="P129" s="22"/>
      <c r="Q129" s="93"/>
      <c r="R129" s="93"/>
      <c r="S129" s="93"/>
      <c r="T129" s="22"/>
      <c r="U129" s="7"/>
      <c r="V129" s="7"/>
      <c r="W129" s="64">
        <f>+W128</f>
        <v>40000</v>
      </c>
      <c r="X129" s="2"/>
      <c r="Y129" s="2"/>
      <c r="Z129" s="2"/>
    </row>
    <row r="130" spans="1:27" ht="15.5" x14ac:dyDescent="0.35">
      <c r="A130" s="75" t="s">
        <v>152</v>
      </c>
      <c r="B130" s="76"/>
      <c r="C130" s="76"/>
      <c r="D130" s="76"/>
      <c r="E130" s="76"/>
      <c r="F130" s="76"/>
      <c r="G130" s="76"/>
      <c r="H130" s="76"/>
      <c r="I130" s="76"/>
      <c r="J130" s="76"/>
      <c r="K130" s="76"/>
      <c r="L130" s="76"/>
      <c r="M130" s="76"/>
      <c r="N130" s="76"/>
      <c r="O130" s="76"/>
      <c r="P130" s="76"/>
      <c r="Q130" s="76"/>
      <c r="R130" s="76"/>
      <c r="S130" s="76"/>
      <c r="T130" s="76"/>
      <c r="U130" s="76"/>
      <c r="V130" s="76"/>
      <c r="W130" s="76"/>
      <c r="X130" s="172">
        <f>X133</f>
        <v>100000</v>
      </c>
      <c r="Y130" s="76"/>
      <c r="Z130" s="77"/>
    </row>
    <row r="131" spans="1:27" ht="46.5" x14ac:dyDescent="0.35">
      <c r="A131" s="166" t="s">
        <v>388</v>
      </c>
      <c r="B131" s="2" t="s">
        <v>245</v>
      </c>
      <c r="C131" s="1" t="s">
        <v>39</v>
      </c>
      <c r="D131" s="13"/>
      <c r="E131" s="49"/>
      <c r="F131" s="49"/>
      <c r="G131" s="49"/>
      <c r="H131" s="13"/>
      <c r="I131" s="10"/>
      <c r="J131" s="10"/>
      <c r="K131" s="10"/>
      <c r="L131" s="13"/>
      <c r="M131" s="49"/>
      <c r="N131" s="23"/>
      <c r="O131" s="23"/>
      <c r="P131" s="13"/>
      <c r="Q131" s="23"/>
      <c r="R131" s="23"/>
      <c r="S131" s="23"/>
      <c r="T131" s="13"/>
      <c r="U131" s="2" t="s">
        <v>241</v>
      </c>
      <c r="V131" s="2" t="s">
        <v>242</v>
      </c>
      <c r="W131" s="60">
        <v>20000</v>
      </c>
      <c r="X131" s="20"/>
      <c r="Y131" s="20"/>
      <c r="Z131" s="59"/>
    </row>
    <row r="132" spans="1:27" ht="46.5" x14ac:dyDescent="0.35">
      <c r="A132" s="2" t="s">
        <v>244</v>
      </c>
      <c r="B132" s="2" t="s">
        <v>246</v>
      </c>
      <c r="C132" s="1" t="s">
        <v>39</v>
      </c>
      <c r="D132" s="13"/>
      <c r="E132" s="49"/>
      <c r="F132" s="49"/>
      <c r="G132" s="49"/>
      <c r="H132" s="13"/>
      <c r="I132" s="49"/>
      <c r="J132" s="49"/>
      <c r="K132" s="49"/>
      <c r="L132" s="13"/>
      <c r="M132" s="10"/>
      <c r="N132" s="106"/>
      <c r="O132" s="106"/>
      <c r="P132" s="13"/>
      <c r="Q132" s="106"/>
      <c r="R132" s="106"/>
      <c r="S132" s="106"/>
      <c r="T132" s="13"/>
      <c r="U132" s="2" t="s">
        <v>247</v>
      </c>
      <c r="V132" s="2" t="s">
        <v>243</v>
      </c>
      <c r="W132" s="60">
        <v>2000</v>
      </c>
      <c r="X132" s="20"/>
      <c r="Y132" s="20"/>
      <c r="Z132" s="59"/>
    </row>
    <row r="133" spans="1:27" ht="46.5" x14ac:dyDescent="0.35">
      <c r="A133" s="166" t="s">
        <v>389</v>
      </c>
      <c r="B133" s="2" t="s">
        <v>248</v>
      </c>
      <c r="C133" s="1" t="s">
        <v>39</v>
      </c>
      <c r="D133" s="13"/>
      <c r="E133" s="49"/>
      <c r="F133" s="49"/>
      <c r="G133" s="49"/>
      <c r="H133" s="13"/>
      <c r="I133" s="49"/>
      <c r="J133" s="49"/>
      <c r="K133" s="23"/>
      <c r="L133" s="13"/>
      <c r="M133" s="106"/>
      <c r="N133" s="106"/>
      <c r="O133" s="106"/>
      <c r="P133" s="13"/>
      <c r="Q133" s="106"/>
      <c r="R133" s="106"/>
      <c r="S133" s="106"/>
      <c r="T133" s="13"/>
      <c r="U133" s="2" t="s">
        <v>249</v>
      </c>
      <c r="V133" s="2" t="s">
        <v>250</v>
      </c>
      <c r="W133" s="60">
        <v>13400</v>
      </c>
      <c r="X133" s="169">
        <v>100000</v>
      </c>
      <c r="Y133" s="20"/>
      <c r="Z133" s="59"/>
    </row>
    <row r="134" spans="1:27" ht="20.5" thickBot="1" x14ac:dyDescent="0.4">
      <c r="A134" s="61"/>
      <c r="B134" s="18"/>
      <c r="C134" s="8"/>
      <c r="D134" s="13"/>
      <c r="E134" s="18"/>
      <c r="F134" s="18"/>
      <c r="G134" s="18"/>
      <c r="H134" s="13"/>
      <c r="I134" s="18"/>
      <c r="J134" s="18"/>
      <c r="K134" s="18"/>
      <c r="L134" s="13"/>
      <c r="M134" s="96"/>
      <c r="N134" s="96"/>
      <c r="O134" s="96"/>
      <c r="P134" s="13"/>
      <c r="Q134" s="96"/>
      <c r="R134" s="96"/>
      <c r="S134" s="96"/>
      <c r="T134" s="13"/>
      <c r="U134" s="20"/>
      <c r="V134" s="20"/>
      <c r="W134" s="114">
        <f>W131+W132+W133</f>
        <v>35400</v>
      </c>
      <c r="X134" s="20"/>
      <c r="Y134" s="20"/>
      <c r="Z134" s="59"/>
    </row>
    <row r="135" spans="1:27" ht="48" customHeight="1" thickBot="1" x14ac:dyDescent="0.4">
      <c r="A135" s="71" t="s">
        <v>153</v>
      </c>
      <c r="B135" s="76"/>
      <c r="C135" s="76"/>
      <c r="D135" s="76"/>
      <c r="E135" s="76"/>
      <c r="F135" s="76"/>
      <c r="G135" s="76"/>
      <c r="H135" s="76"/>
      <c r="I135" s="76"/>
      <c r="J135" s="76"/>
      <c r="K135" s="76"/>
      <c r="L135" s="76"/>
      <c r="M135" s="76"/>
      <c r="N135" s="76"/>
      <c r="O135" s="76"/>
      <c r="P135" s="76"/>
      <c r="Q135" s="76"/>
      <c r="R135" s="76"/>
      <c r="S135" s="76"/>
      <c r="T135" s="76"/>
      <c r="U135" s="76"/>
      <c r="V135" s="76"/>
      <c r="W135" s="76"/>
      <c r="X135" s="172">
        <f>X136</f>
        <v>200000</v>
      </c>
      <c r="Y135" s="76"/>
      <c r="Z135" s="77"/>
    </row>
    <row r="136" spans="1:27" ht="78.75" customHeight="1" thickBot="1" x14ac:dyDescent="0.4">
      <c r="A136" s="2" t="s">
        <v>393</v>
      </c>
      <c r="B136" s="2" t="s">
        <v>155</v>
      </c>
      <c r="C136" s="1" t="s">
        <v>39</v>
      </c>
      <c r="D136" s="24"/>
      <c r="E136" s="10"/>
      <c r="F136" s="10"/>
      <c r="G136" s="10"/>
      <c r="H136" s="22"/>
      <c r="I136" s="96"/>
      <c r="J136" s="96"/>
      <c r="K136" s="96"/>
      <c r="L136" s="183"/>
      <c r="M136" s="13"/>
      <c r="N136" s="13"/>
      <c r="O136" s="13"/>
      <c r="P136" s="22"/>
      <c r="Q136" s="25"/>
      <c r="R136" s="25"/>
      <c r="S136" s="25"/>
      <c r="T136" s="25"/>
      <c r="U136" s="2" t="s">
        <v>154</v>
      </c>
      <c r="V136" s="2"/>
      <c r="W136" s="65">
        <v>150000</v>
      </c>
      <c r="X136" s="169">
        <v>200000</v>
      </c>
      <c r="Y136" s="2"/>
      <c r="Z136" s="16"/>
    </row>
    <row r="137" spans="1:27" ht="48" customHeight="1" x14ac:dyDescent="0.35">
      <c r="A137" s="192" t="s">
        <v>384</v>
      </c>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7"/>
    </row>
    <row r="138" spans="1:27" ht="48" customHeight="1" x14ac:dyDescent="0.35">
      <c r="A138" s="49" t="s">
        <v>396</v>
      </c>
      <c r="B138" s="193" t="s">
        <v>397</v>
      </c>
      <c r="C138" s="49"/>
      <c r="D138" s="184"/>
      <c r="E138" s="49"/>
      <c r="F138" s="49"/>
      <c r="G138" s="49"/>
      <c r="H138" s="49"/>
      <c r="I138" s="49"/>
      <c r="J138" s="49"/>
      <c r="K138" s="49"/>
      <c r="L138" s="49"/>
      <c r="M138" s="22"/>
      <c r="N138" s="13"/>
      <c r="O138" s="13"/>
      <c r="P138" s="13"/>
      <c r="Q138" s="22"/>
      <c r="R138" s="25"/>
      <c r="S138" s="25"/>
      <c r="T138" s="25"/>
      <c r="U138" s="193" t="s">
        <v>400</v>
      </c>
      <c r="V138" s="49"/>
      <c r="W138" s="195">
        <v>5000</v>
      </c>
      <c r="X138" s="49"/>
      <c r="Y138" s="49"/>
      <c r="Z138" s="49"/>
    </row>
    <row r="139" spans="1:27" ht="48" customHeight="1" x14ac:dyDescent="0.35">
      <c r="A139" s="49" t="s">
        <v>410</v>
      </c>
      <c r="B139" s="193" t="s">
        <v>398</v>
      </c>
      <c r="C139" s="49"/>
      <c r="D139" s="49"/>
      <c r="E139" s="49"/>
      <c r="F139" s="49"/>
      <c r="G139" s="49"/>
      <c r="H139" s="49"/>
      <c r="I139" s="49"/>
      <c r="J139" s="49"/>
      <c r="K139" s="49"/>
      <c r="L139" s="49"/>
      <c r="M139" s="22"/>
      <c r="N139" s="13"/>
      <c r="O139" s="13"/>
      <c r="P139" s="13"/>
      <c r="Q139" s="22"/>
      <c r="R139" s="25"/>
      <c r="S139" s="25"/>
      <c r="T139" s="25"/>
      <c r="U139" s="193" t="s">
        <v>399</v>
      </c>
      <c r="V139" s="49"/>
      <c r="W139" s="194">
        <v>135000</v>
      </c>
      <c r="X139" s="49"/>
      <c r="Y139" s="49"/>
      <c r="Z139" s="49"/>
    </row>
    <row r="140" spans="1:27" ht="78.75" customHeight="1" x14ac:dyDescent="0.35">
      <c r="A140" s="2"/>
      <c r="B140" s="2" t="s">
        <v>155</v>
      </c>
      <c r="C140" s="1" t="s">
        <v>39</v>
      </c>
      <c r="D140" s="13"/>
      <c r="E140" s="6"/>
      <c r="F140" s="6"/>
      <c r="G140" s="6"/>
      <c r="H140" s="13"/>
      <c r="I140" s="10"/>
      <c r="J140" s="10"/>
      <c r="K140" s="106"/>
      <c r="L140" s="13"/>
      <c r="M140" s="106"/>
      <c r="N140" s="106"/>
      <c r="O140" s="106"/>
      <c r="P140" s="13"/>
      <c r="Q140" s="96"/>
      <c r="R140" s="96"/>
      <c r="S140" s="96"/>
      <c r="T140" s="13"/>
      <c r="U140" s="2" t="s">
        <v>156</v>
      </c>
      <c r="V140" s="2"/>
      <c r="W140" s="65">
        <f>W138+W139</f>
        <v>140000</v>
      </c>
      <c r="X140" s="21"/>
      <c r="Y140" s="2"/>
      <c r="Z140" s="16"/>
    </row>
    <row r="141" spans="1:27" ht="37.25" customHeight="1" x14ac:dyDescent="0.6">
      <c r="A141" s="33"/>
      <c r="B141" s="33"/>
      <c r="C141" s="1"/>
      <c r="D141" s="233"/>
      <c r="E141" s="234"/>
      <c r="F141" s="33"/>
      <c r="G141" s="33"/>
      <c r="H141" s="234"/>
      <c r="I141" s="234"/>
      <c r="J141" s="33"/>
      <c r="K141" s="33"/>
      <c r="L141" s="234"/>
      <c r="M141" s="234"/>
      <c r="N141" s="33"/>
      <c r="O141" s="33"/>
      <c r="P141" s="235"/>
      <c r="Q141" s="236"/>
      <c r="R141" s="33"/>
      <c r="S141" s="33"/>
      <c r="T141" s="237" t="s">
        <v>157</v>
      </c>
      <c r="U141" s="238"/>
      <c r="V141" s="34" t="s">
        <v>252</v>
      </c>
      <c r="W141" s="197">
        <f>W13+W19+W23+W35+W37++W44+W54+W61+W74+W82+W89+W92+W95+W100+W103+W114+W126+W129+W134+W136+W140</f>
        <v>2923637</v>
      </c>
      <c r="X141" s="177">
        <f>X29+X41+X42+X43+X59+X63+X86+X101+X116+X119+X123+X127+X130+X135</f>
        <v>2209723</v>
      </c>
      <c r="Y141" s="35"/>
      <c r="Z141" s="33"/>
    </row>
    <row r="142" spans="1:27" x14ac:dyDescent="0.35">
      <c r="C142" s="33"/>
    </row>
    <row r="143" spans="1:27" x14ac:dyDescent="0.35">
      <c r="G143" s="36"/>
      <c r="AA143" s="112"/>
    </row>
    <row r="144" spans="1:27" ht="21" x14ac:dyDescent="0.5">
      <c r="U144" s="174" t="s">
        <v>345</v>
      </c>
      <c r="V144" s="175">
        <f>W141</f>
        <v>2923637</v>
      </c>
      <c r="W144" s="58"/>
      <c r="X144" s="58"/>
    </row>
    <row r="145" spans="2:25" ht="21" x14ac:dyDescent="0.5">
      <c r="U145" s="174" t="s">
        <v>346</v>
      </c>
      <c r="V145" s="175">
        <v>2209723</v>
      </c>
    </row>
    <row r="146" spans="2:25" ht="63" x14ac:dyDescent="0.5">
      <c r="B146" s="73"/>
      <c r="U146" s="176" t="s">
        <v>347</v>
      </c>
      <c r="V146" s="175">
        <f>Etat_decaissement!P30</f>
        <v>902097</v>
      </c>
      <c r="Y146" s="36"/>
    </row>
    <row r="147" spans="2:25" x14ac:dyDescent="0.35">
      <c r="U147" s="72"/>
    </row>
    <row r="148" spans="2:25" x14ac:dyDescent="0.35">
      <c r="U148" s="36"/>
      <c r="W148" s="199"/>
    </row>
    <row r="150" spans="2:25" ht="21" x14ac:dyDescent="0.5">
      <c r="U150" s="70"/>
    </row>
    <row r="152" spans="2:25" x14ac:dyDescent="0.35">
      <c r="U152" s="36"/>
    </row>
  </sheetData>
  <mergeCells count="46">
    <mergeCell ref="D5:Z5"/>
    <mergeCell ref="Z6:Z7"/>
    <mergeCell ref="I6:K6"/>
    <mergeCell ref="L6:L7"/>
    <mergeCell ref="M6:O6"/>
    <mergeCell ref="P6:P7"/>
    <mergeCell ref="Q6:S6"/>
    <mergeCell ref="T6:T7"/>
    <mergeCell ref="U6:U7"/>
    <mergeCell ref="V6:V7"/>
    <mergeCell ref="W6:W7"/>
    <mergeCell ref="X6:X7"/>
    <mergeCell ref="Y6:Y7"/>
    <mergeCell ref="F1:Z1"/>
    <mergeCell ref="F2:G2"/>
    <mergeCell ref="D3:Z3"/>
    <mergeCell ref="F4:G4"/>
    <mergeCell ref="H4:Z4"/>
    <mergeCell ref="A8:Z8"/>
    <mergeCell ref="A14:Z14"/>
    <mergeCell ref="A6:A7"/>
    <mergeCell ref="B6:B7"/>
    <mergeCell ref="C6:C7"/>
    <mergeCell ref="D6:D7"/>
    <mergeCell ref="E6:G6"/>
    <mergeCell ref="H6:H7"/>
    <mergeCell ref="A10:A12"/>
    <mergeCell ref="U10:U11"/>
    <mergeCell ref="A84:Z84"/>
    <mergeCell ref="D141:E141"/>
    <mergeCell ref="H141:I141"/>
    <mergeCell ref="L141:M141"/>
    <mergeCell ref="P141:Q141"/>
    <mergeCell ref="T141:U141"/>
    <mergeCell ref="A83:Z83"/>
    <mergeCell ref="A25:Z25"/>
    <mergeCell ref="A28:Z28"/>
    <mergeCell ref="B35:T35"/>
    <mergeCell ref="A36:Z36"/>
    <mergeCell ref="A39:Z39"/>
    <mergeCell ref="A45:Z45"/>
    <mergeCell ref="A20:Z20"/>
    <mergeCell ref="A24:Z24"/>
    <mergeCell ref="A55:Z55"/>
    <mergeCell ref="A60:Z60"/>
    <mergeCell ref="A62:Z62"/>
  </mergeCells>
  <conditionalFormatting sqref="W1:W8 W10:W12 W104:W128 W82:W91 W130:W1048576 W53:W65 W93:W102 W14:W51 W67:W74 W77:W80">
    <cfRule type="cellIs" dxfId="10" priority="16" operator="greaterThan">
      <formula>9999</formula>
    </cfRule>
  </conditionalFormatting>
  <conditionalFormatting sqref="B9:Z9">
    <cfRule type="cellIs" dxfId="9" priority="15" operator="greaterThan">
      <formula>9999</formula>
    </cfRule>
  </conditionalFormatting>
  <conditionalFormatting sqref="W52">
    <cfRule type="cellIs" dxfId="8" priority="14" operator="greaterThan">
      <formula>9999</formula>
    </cfRule>
  </conditionalFormatting>
  <conditionalFormatting sqref="W13">
    <cfRule type="cellIs" dxfId="7" priority="13" operator="greaterThan">
      <formula>9999</formula>
    </cfRule>
  </conditionalFormatting>
  <conditionalFormatting sqref="W92">
    <cfRule type="cellIs" dxfId="6" priority="12" operator="greaterThan">
      <formula>9999</formula>
    </cfRule>
  </conditionalFormatting>
  <conditionalFormatting sqref="W103">
    <cfRule type="cellIs" dxfId="5" priority="11" operator="greaterThan">
      <formula>9999</formula>
    </cfRule>
  </conditionalFormatting>
  <conditionalFormatting sqref="W129">
    <cfRule type="cellIs" dxfId="4" priority="10" operator="greaterThan">
      <formula>9999</formula>
    </cfRule>
  </conditionalFormatting>
  <conditionalFormatting sqref="W75">
    <cfRule type="cellIs" dxfId="3" priority="8" operator="greaterThan">
      <formula>9999</formula>
    </cfRule>
  </conditionalFormatting>
  <conditionalFormatting sqref="W76">
    <cfRule type="cellIs" dxfId="2" priority="5" operator="greaterThan">
      <formula>9999</formula>
    </cfRule>
  </conditionalFormatting>
  <conditionalFormatting sqref="W81">
    <cfRule type="cellIs" dxfId="1" priority="4" operator="greaterThan">
      <formula>9999</formula>
    </cfRule>
  </conditionalFormatting>
  <conditionalFormatting sqref="W66">
    <cfRule type="cellIs" dxfId="0" priority="3" operator="greaterThan">
      <formula>9999</formula>
    </cfRule>
  </conditionalFormatting>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topLeftCell="A14" workbookViewId="0">
      <pane xSplit="1" topLeftCell="L1" activePane="topRight" state="frozen"/>
      <selection activeCell="A3" sqref="A3"/>
      <selection pane="topRight" activeCell="P31" sqref="P31"/>
    </sheetView>
  </sheetViews>
  <sheetFormatPr baseColWidth="10" defaultColWidth="8.81640625" defaultRowHeight="14.5" x14ac:dyDescent="0.35"/>
  <cols>
    <col min="1" max="1" width="37.90625" style="11" customWidth="1"/>
    <col min="2" max="2" width="5.1796875" style="11" customWidth="1"/>
    <col min="3" max="3" width="11.36328125" style="11" customWidth="1"/>
    <col min="4" max="4" width="7.54296875" style="119" customWidth="1"/>
    <col min="5" max="5" width="10.90625" style="119" customWidth="1"/>
    <col min="6" max="6" width="9.08984375" style="119" customWidth="1"/>
    <col min="7" max="8" width="7.54296875" style="119" customWidth="1"/>
    <col min="9" max="9" width="8.81640625" customWidth="1"/>
    <col min="13" max="13" width="11.453125" customWidth="1"/>
    <col min="14" max="14" width="8.81640625" customWidth="1"/>
    <col min="16" max="16" width="16.08984375" bestFit="1" customWidth="1"/>
    <col min="18" max="18" width="10" bestFit="1" customWidth="1"/>
    <col min="21" max="21" width="11" bestFit="1" customWidth="1"/>
    <col min="23" max="23" width="11" bestFit="1" customWidth="1"/>
    <col min="24" max="24" width="8.6328125" customWidth="1"/>
  </cols>
  <sheetData>
    <row r="1" spans="1:23" ht="15" customHeight="1" x14ac:dyDescent="0.35">
      <c r="A1" s="118" t="s">
        <v>258</v>
      </c>
      <c r="C1" s="118" t="s">
        <v>259</v>
      </c>
    </row>
    <row r="2" spans="1:23" ht="15" customHeight="1" x14ac:dyDescent="0.35">
      <c r="A2" s="120" t="s">
        <v>260</v>
      </c>
      <c r="B2" s="121" t="s">
        <v>261</v>
      </c>
      <c r="C2" s="122" t="s">
        <v>262</v>
      </c>
      <c r="D2" s="259" t="s">
        <v>263</v>
      </c>
      <c r="E2" s="259"/>
      <c r="F2" s="259"/>
      <c r="G2" s="259"/>
      <c r="H2" s="259"/>
      <c r="I2" s="259"/>
      <c r="J2" s="259"/>
      <c r="L2" s="260" t="s">
        <v>264</v>
      </c>
      <c r="M2" s="260"/>
      <c r="N2" s="260"/>
      <c r="O2" s="260"/>
      <c r="P2" s="260"/>
    </row>
    <row r="3" spans="1:23" ht="43" customHeight="1" x14ac:dyDescent="0.35">
      <c r="A3" s="120"/>
      <c r="B3" s="120"/>
      <c r="C3" s="120"/>
      <c r="D3" s="123">
        <v>2019</v>
      </c>
      <c r="E3" s="123">
        <v>2020</v>
      </c>
      <c r="F3" s="123">
        <v>2021</v>
      </c>
      <c r="G3" s="123">
        <v>2022</v>
      </c>
      <c r="H3" s="123">
        <v>2023</v>
      </c>
      <c r="I3" s="123" t="s">
        <v>265</v>
      </c>
      <c r="J3" s="123" t="s">
        <v>266</v>
      </c>
      <c r="L3" s="120" t="s">
        <v>267</v>
      </c>
      <c r="M3" s="124" t="s">
        <v>268</v>
      </c>
      <c r="N3" s="124" t="s">
        <v>269</v>
      </c>
      <c r="O3" s="124" t="s">
        <v>270</v>
      </c>
      <c r="P3" s="124" t="s">
        <v>271</v>
      </c>
    </row>
    <row r="4" spans="1:23" s="128" customFormat="1" ht="15" customHeight="1" x14ac:dyDescent="0.35">
      <c r="A4" s="125" t="s">
        <v>272</v>
      </c>
      <c r="B4" s="126"/>
      <c r="C4" s="126">
        <v>600000</v>
      </c>
      <c r="D4" s="126"/>
      <c r="E4" s="126"/>
      <c r="F4" s="126">
        <v>600000</v>
      </c>
      <c r="G4" s="126"/>
      <c r="H4" s="126"/>
      <c r="I4" s="126">
        <f>SUM(D4:H4)</f>
        <v>600000</v>
      </c>
      <c r="J4" s="127">
        <f t="shared" ref="J4:J27" si="0">I4/C4</f>
        <v>1</v>
      </c>
      <c r="L4" s="126"/>
      <c r="M4" s="126"/>
      <c r="N4" s="126"/>
      <c r="O4" s="126"/>
      <c r="P4" s="126">
        <f>SUM(K4:O4)</f>
        <v>0</v>
      </c>
      <c r="S4" s="178"/>
    </row>
    <row r="5" spans="1:23" s="128" customFormat="1" ht="15" customHeight="1" x14ac:dyDescent="0.35">
      <c r="A5" s="129" t="s">
        <v>273</v>
      </c>
      <c r="B5" s="126"/>
      <c r="C5" s="126">
        <v>200000</v>
      </c>
      <c r="D5" s="126"/>
      <c r="E5" s="126"/>
      <c r="F5" s="126"/>
      <c r="G5" s="126"/>
      <c r="H5" s="126"/>
      <c r="I5" s="126">
        <f>SUM(D5:H5)</f>
        <v>0</v>
      </c>
      <c r="J5" s="127">
        <f t="shared" si="0"/>
        <v>0</v>
      </c>
      <c r="L5" s="126"/>
      <c r="M5" s="126"/>
      <c r="N5" s="126"/>
      <c r="O5" s="126"/>
      <c r="P5" s="126">
        <f>SUM(K5:O5)</f>
        <v>0</v>
      </c>
    </row>
    <row r="6" spans="1:23" ht="15" customHeight="1" x14ac:dyDescent="0.35">
      <c r="A6" s="130" t="s">
        <v>274</v>
      </c>
      <c r="B6" s="130">
        <v>15</v>
      </c>
      <c r="C6" s="131">
        <v>80470</v>
      </c>
      <c r="D6" s="132"/>
      <c r="E6" s="132"/>
      <c r="F6" s="132"/>
      <c r="G6" s="132"/>
      <c r="H6" s="132"/>
      <c r="I6" s="132">
        <f t="shared" ref="I6:I27" si="1">SUM(D6:H6)</f>
        <v>0</v>
      </c>
      <c r="J6" s="133">
        <f>I6/C6</f>
        <v>0</v>
      </c>
      <c r="L6" s="132">
        <v>60600</v>
      </c>
      <c r="M6" s="132">
        <v>0</v>
      </c>
      <c r="N6" s="132">
        <v>0</v>
      </c>
      <c r="O6" s="132">
        <v>0</v>
      </c>
      <c r="P6" s="168">
        <f>SUM(K6:O6)</f>
        <v>60600</v>
      </c>
      <c r="S6" s="169"/>
      <c r="U6" s="169"/>
    </row>
    <row r="7" spans="1:23" ht="15" customHeight="1" x14ac:dyDescent="0.35">
      <c r="A7" s="130" t="s">
        <v>275</v>
      </c>
      <c r="B7" s="130">
        <v>170</v>
      </c>
      <c r="C7" s="131">
        <v>405000</v>
      </c>
      <c r="D7" s="132"/>
      <c r="E7" s="132"/>
      <c r="F7" s="132"/>
      <c r="G7" s="132"/>
      <c r="H7" s="132"/>
      <c r="I7" s="132">
        <f t="shared" si="1"/>
        <v>0</v>
      </c>
      <c r="J7" s="133">
        <f t="shared" si="0"/>
        <v>0</v>
      </c>
      <c r="L7" s="132">
        <v>259188</v>
      </c>
      <c r="M7" s="132">
        <v>0</v>
      </c>
      <c r="N7" s="132">
        <v>0</v>
      </c>
      <c r="O7" s="132">
        <v>0</v>
      </c>
      <c r="P7" s="168">
        <f t="shared" ref="P7:P9" si="2">SUM(K7:O7)</f>
        <v>259188</v>
      </c>
      <c r="S7" s="169"/>
      <c r="U7" s="169"/>
    </row>
    <row r="8" spans="1:23" ht="15" customHeight="1" x14ac:dyDescent="0.35">
      <c r="A8" s="130" t="s">
        <v>276</v>
      </c>
      <c r="B8" s="130">
        <v>150</v>
      </c>
      <c r="C8" s="131">
        <v>110199</v>
      </c>
      <c r="D8" s="132"/>
      <c r="E8" s="132"/>
      <c r="F8" s="132"/>
      <c r="G8" s="132"/>
      <c r="H8" s="132"/>
      <c r="I8" s="132">
        <f t="shared" si="1"/>
        <v>0</v>
      </c>
      <c r="J8" s="133">
        <f t="shared" si="0"/>
        <v>0</v>
      </c>
      <c r="L8" s="132">
        <v>51142</v>
      </c>
      <c r="M8" s="132">
        <v>0</v>
      </c>
      <c r="N8" s="132">
        <v>0</v>
      </c>
      <c r="O8" s="132">
        <v>0</v>
      </c>
      <c r="P8" s="132">
        <f>SUM(K8:O8)</f>
        <v>51142</v>
      </c>
      <c r="S8" s="169"/>
      <c r="U8" s="169"/>
    </row>
    <row r="9" spans="1:23" ht="15" customHeight="1" x14ac:dyDescent="0.35">
      <c r="A9" s="130" t="s">
        <v>277</v>
      </c>
      <c r="B9" s="130">
        <v>220</v>
      </c>
      <c r="C9" s="131">
        <v>245000</v>
      </c>
      <c r="D9" s="132"/>
      <c r="E9" s="132"/>
      <c r="F9" s="132"/>
      <c r="G9" s="132"/>
      <c r="H9" s="132"/>
      <c r="I9" s="132">
        <f t="shared" si="1"/>
        <v>0</v>
      </c>
      <c r="J9" s="133">
        <f t="shared" si="0"/>
        <v>0</v>
      </c>
      <c r="L9" s="132">
        <v>172140</v>
      </c>
      <c r="M9" s="132">
        <v>0</v>
      </c>
      <c r="N9" s="132">
        <v>0</v>
      </c>
      <c r="O9" s="132">
        <v>0</v>
      </c>
      <c r="P9" s="168">
        <f t="shared" si="2"/>
        <v>172140</v>
      </c>
      <c r="S9" s="170"/>
      <c r="U9" s="170"/>
      <c r="W9" s="169"/>
    </row>
    <row r="10" spans="1:23" s="128" customFormat="1" ht="15" customHeight="1" x14ac:dyDescent="0.35">
      <c r="A10" s="125" t="s">
        <v>278</v>
      </c>
      <c r="B10" s="126"/>
      <c r="C10" s="126">
        <f>SUM(C6:C9)</f>
        <v>840669</v>
      </c>
      <c r="D10" s="126"/>
      <c r="E10" s="126"/>
      <c r="F10" s="126"/>
      <c r="G10" s="126"/>
      <c r="H10" s="126"/>
      <c r="I10" s="126">
        <f t="shared" si="1"/>
        <v>0</v>
      </c>
      <c r="J10" s="127">
        <f t="shared" si="0"/>
        <v>0</v>
      </c>
      <c r="L10" s="126">
        <f>SUM(L6:L9)</f>
        <v>543070</v>
      </c>
      <c r="M10" s="126">
        <f t="shared" ref="M10:O10" si="3">SUM(M6:M9)</f>
        <v>0</v>
      </c>
      <c r="N10" s="126">
        <f t="shared" si="3"/>
        <v>0</v>
      </c>
      <c r="O10" s="126">
        <f t="shared" si="3"/>
        <v>0</v>
      </c>
      <c r="P10" s="126">
        <f>SUM(P6:P9)</f>
        <v>543070</v>
      </c>
    </row>
    <row r="11" spans="1:23" ht="15" customHeight="1" x14ac:dyDescent="0.35">
      <c r="A11" s="130" t="s">
        <v>279</v>
      </c>
      <c r="B11" s="130">
        <v>4</v>
      </c>
      <c r="C11" s="131">
        <v>500000</v>
      </c>
      <c r="D11" s="132"/>
      <c r="E11" s="132"/>
      <c r="F11" s="132"/>
      <c r="G11" s="132"/>
      <c r="H11" s="132"/>
      <c r="I11" s="132">
        <f t="shared" si="1"/>
        <v>0</v>
      </c>
      <c r="J11" s="133">
        <f t="shared" si="0"/>
        <v>0</v>
      </c>
      <c r="L11" s="132">
        <v>100000</v>
      </c>
      <c r="M11" s="132">
        <v>0</v>
      </c>
      <c r="N11" s="132">
        <v>0</v>
      </c>
      <c r="O11" s="134">
        <v>0</v>
      </c>
      <c r="P11" s="168">
        <f>SUM(K11:O11)</f>
        <v>100000</v>
      </c>
      <c r="S11" s="169"/>
    </row>
    <row r="12" spans="1:23" ht="15" customHeight="1" x14ac:dyDescent="0.35">
      <c r="A12" s="130" t="s">
        <v>280</v>
      </c>
      <c r="B12" s="130">
        <v>19</v>
      </c>
      <c r="C12" s="131">
        <v>190000</v>
      </c>
      <c r="D12" s="132"/>
      <c r="E12" s="132"/>
      <c r="F12" s="132"/>
      <c r="G12" s="132"/>
      <c r="H12" s="132"/>
      <c r="I12" s="132">
        <f t="shared" si="1"/>
        <v>0</v>
      </c>
      <c r="J12" s="133">
        <f t="shared" si="0"/>
        <v>0</v>
      </c>
      <c r="L12" s="132">
        <v>85000</v>
      </c>
      <c r="M12" s="132">
        <v>0</v>
      </c>
      <c r="N12" s="132">
        <v>0</v>
      </c>
      <c r="O12" s="132">
        <v>13980</v>
      </c>
      <c r="P12" s="132">
        <f t="shared" ref="P12:P13" si="4">SUM(K12:O12)</f>
        <v>98980</v>
      </c>
      <c r="S12" s="169"/>
    </row>
    <row r="13" spans="1:23" ht="15" customHeight="1" x14ac:dyDescent="0.35">
      <c r="A13" s="135" t="s">
        <v>281</v>
      </c>
      <c r="B13" s="130">
        <v>3</v>
      </c>
      <c r="C13" s="131">
        <v>1200000</v>
      </c>
      <c r="D13" s="136"/>
      <c r="E13" s="136"/>
      <c r="F13" s="132"/>
      <c r="G13" s="132"/>
      <c r="H13" s="132"/>
      <c r="I13" s="132">
        <f t="shared" si="1"/>
        <v>0</v>
      </c>
      <c r="J13" s="133">
        <f t="shared" si="0"/>
        <v>0</v>
      </c>
      <c r="L13" s="132">
        <v>0</v>
      </c>
      <c r="M13" s="132">
        <v>0</v>
      </c>
      <c r="N13" s="132">
        <v>0</v>
      </c>
      <c r="O13" s="134">
        <v>600000</v>
      </c>
      <c r="P13" s="134">
        <f t="shared" si="4"/>
        <v>600000</v>
      </c>
      <c r="S13" s="169"/>
    </row>
    <row r="14" spans="1:23" s="128" customFormat="1" ht="15" customHeight="1" x14ac:dyDescent="0.35">
      <c r="A14" s="129" t="s">
        <v>282</v>
      </c>
      <c r="B14" s="129"/>
      <c r="C14" s="137">
        <f>SUM(C11:C13)</f>
        <v>1890000</v>
      </c>
      <c r="D14" s="126"/>
      <c r="E14" s="126"/>
      <c r="F14" s="126"/>
      <c r="G14" s="126"/>
      <c r="H14" s="126"/>
      <c r="I14" s="126">
        <f t="shared" si="1"/>
        <v>0</v>
      </c>
      <c r="J14" s="127">
        <f t="shared" si="0"/>
        <v>0</v>
      </c>
      <c r="L14" s="126">
        <f>SUM(L11:L13)</f>
        <v>185000</v>
      </c>
      <c r="M14" s="126">
        <f t="shared" ref="M14:O14" si="5">SUM(M11:M13)</f>
        <v>0</v>
      </c>
      <c r="N14" s="126">
        <f t="shared" si="5"/>
        <v>0</v>
      </c>
      <c r="O14" s="126">
        <f t="shared" si="5"/>
        <v>613980</v>
      </c>
      <c r="P14" s="126">
        <f>P11+P12+P13</f>
        <v>798980</v>
      </c>
    </row>
    <row r="15" spans="1:23" ht="15" customHeight="1" x14ac:dyDescent="0.35">
      <c r="A15" s="130" t="s">
        <v>283</v>
      </c>
      <c r="B15" s="130"/>
      <c r="C15" s="131">
        <v>428659</v>
      </c>
      <c r="D15" s="132"/>
      <c r="E15" s="132"/>
      <c r="F15" s="132"/>
      <c r="G15" s="132"/>
      <c r="H15" s="132"/>
      <c r="I15" s="132">
        <f t="shared" si="1"/>
        <v>0</v>
      </c>
      <c r="J15" s="133">
        <f t="shared" si="0"/>
        <v>0</v>
      </c>
      <c r="K15" s="138"/>
      <c r="L15" s="132">
        <v>33605</v>
      </c>
      <c r="M15" s="132">
        <v>0</v>
      </c>
      <c r="N15" s="132">
        <v>0</v>
      </c>
      <c r="O15" s="132">
        <v>35080</v>
      </c>
      <c r="P15" s="171">
        <f>SUM(K15:O15)</f>
        <v>68685</v>
      </c>
      <c r="R15" s="139"/>
      <c r="S15" s="119"/>
    </row>
    <row r="16" spans="1:23" s="145" customFormat="1" ht="15" customHeight="1" x14ac:dyDescent="0.35">
      <c r="A16" s="140" t="s">
        <v>284</v>
      </c>
      <c r="B16" s="140">
        <v>225</v>
      </c>
      <c r="C16" s="141">
        <v>33699</v>
      </c>
      <c r="D16" s="142"/>
      <c r="E16" s="142"/>
      <c r="F16" s="142"/>
      <c r="G16" s="142"/>
      <c r="H16" s="142"/>
      <c r="I16" s="142">
        <f t="shared" si="1"/>
        <v>0</v>
      </c>
      <c r="J16" s="143">
        <f t="shared" si="0"/>
        <v>0</v>
      </c>
      <c r="K16" s="144"/>
      <c r="L16" s="142">
        <v>25708</v>
      </c>
      <c r="M16" s="142">
        <v>0</v>
      </c>
      <c r="N16" s="142">
        <v>0</v>
      </c>
      <c r="O16" s="142">
        <v>16000</v>
      </c>
      <c r="P16" s="142">
        <f>SUM(K16:O16)</f>
        <v>41708</v>
      </c>
      <c r="R16" s="146"/>
    </row>
    <row r="17" spans="1:21" s="128" customFormat="1" ht="15" customHeight="1" x14ac:dyDescent="0.35">
      <c r="A17" s="129" t="s">
        <v>285</v>
      </c>
      <c r="B17" s="129"/>
      <c r="C17" s="137">
        <f>SUM(C15:C16)</f>
        <v>462358</v>
      </c>
      <c r="D17" s="126"/>
      <c r="E17" s="126"/>
      <c r="F17" s="126"/>
      <c r="G17" s="126"/>
      <c r="H17" s="126"/>
      <c r="I17" s="126">
        <f t="shared" si="1"/>
        <v>0</v>
      </c>
      <c r="J17" s="127">
        <f t="shared" si="0"/>
        <v>0</v>
      </c>
      <c r="L17" s="126">
        <f>SUM(L15:L16)</f>
        <v>59313</v>
      </c>
      <c r="M17" s="126">
        <f t="shared" ref="M17:O17" si="6">SUM(M15:M16)</f>
        <v>0</v>
      </c>
      <c r="N17" s="126">
        <f t="shared" si="6"/>
        <v>0</v>
      </c>
      <c r="O17" s="126">
        <f t="shared" si="6"/>
        <v>51080</v>
      </c>
      <c r="P17" s="126">
        <f>P15+P16</f>
        <v>110393</v>
      </c>
      <c r="R17" s="147"/>
      <c r="T17" s="145"/>
    </row>
    <row r="18" spans="1:21" ht="15" customHeight="1" x14ac:dyDescent="0.35">
      <c r="A18" s="130" t="s">
        <v>286</v>
      </c>
      <c r="B18" s="130"/>
      <c r="C18" s="131">
        <v>79913</v>
      </c>
      <c r="D18" s="132"/>
      <c r="E18" s="132"/>
      <c r="F18" s="132"/>
      <c r="G18" s="132"/>
      <c r="H18" s="132"/>
      <c r="I18" s="132">
        <f t="shared" si="1"/>
        <v>0</v>
      </c>
      <c r="J18" s="133">
        <f t="shared" si="0"/>
        <v>0</v>
      </c>
      <c r="L18" s="132">
        <v>22440</v>
      </c>
      <c r="M18" s="132">
        <v>0</v>
      </c>
      <c r="N18" s="132">
        <v>0</v>
      </c>
      <c r="O18" s="134">
        <v>0</v>
      </c>
      <c r="P18" s="132">
        <f>SUM(K18:O18)</f>
        <v>22440</v>
      </c>
      <c r="R18" s="146"/>
      <c r="S18" s="119"/>
      <c r="T18" s="119"/>
      <c r="U18" s="169"/>
    </row>
    <row r="19" spans="1:21" ht="15" customHeight="1" x14ac:dyDescent="0.35">
      <c r="A19" s="130" t="s">
        <v>287</v>
      </c>
      <c r="B19" s="130"/>
      <c r="C19" s="131">
        <v>79913</v>
      </c>
      <c r="D19" s="132"/>
      <c r="E19" s="132"/>
      <c r="F19" s="132"/>
      <c r="G19" s="132"/>
      <c r="H19" s="132"/>
      <c r="I19" s="132">
        <f t="shared" si="1"/>
        <v>0</v>
      </c>
      <c r="J19" s="133">
        <f t="shared" si="0"/>
        <v>0</v>
      </c>
      <c r="L19" s="132">
        <v>29920</v>
      </c>
      <c r="M19" s="132">
        <v>0</v>
      </c>
      <c r="N19" s="132">
        <v>0</v>
      </c>
      <c r="O19" s="134">
        <v>0</v>
      </c>
      <c r="P19" s="132">
        <f t="shared" ref="P19:P21" si="7">SUM(K19:O19)</f>
        <v>29920</v>
      </c>
      <c r="R19" s="139"/>
      <c r="S19" s="119"/>
      <c r="T19" s="119"/>
      <c r="U19" s="169"/>
    </row>
    <row r="20" spans="1:21" ht="15" customHeight="1" x14ac:dyDescent="0.35">
      <c r="A20" s="130" t="s">
        <v>288</v>
      </c>
      <c r="B20" s="130"/>
      <c r="C20" s="131">
        <v>79913</v>
      </c>
      <c r="D20" s="132"/>
      <c r="E20" s="132"/>
      <c r="F20" s="132"/>
      <c r="G20" s="132"/>
      <c r="H20" s="132"/>
      <c r="I20" s="132">
        <f t="shared" si="1"/>
        <v>0</v>
      </c>
      <c r="J20" s="133">
        <f t="shared" si="0"/>
        <v>0</v>
      </c>
      <c r="L20" s="132">
        <v>27117</v>
      </c>
      <c r="M20" s="132">
        <v>0</v>
      </c>
      <c r="N20" s="132">
        <v>0</v>
      </c>
      <c r="O20" s="134">
        <v>2803</v>
      </c>
      <c r="P20" s="132">
        <f t="shared" si="7"/>
        <v>29920</v>
      </c>
      <c r="S20" s="119"/>
      <c r="T20" s="119"/>
    </row>
    <row r="21" spans="1:21" ht="15" customHeight="1" x14ac:dyDescent="0.35">
      <c r="A21" s="130" t="s">
        <v>289</v>
      </c>
      <c r="B21" s="130"/>
      <c r="C21" s="131">
        <v>0</v>
      </c>
      <c r="D21" s="132"/>
      <c r="E21" s="132"/>
      <c r="F21" s="132"/>
      <c r="G21" s="132"/>
      <c r="H21" s="132"/>
      <c r="I21" s="132">
        <f t="shared" si="1"/>
        <v>0</v>
      </c>
      <c r="J21" s="133"/>
      <c r="L21" s="132"/>
      <c r="M21" s="132"/>
      <c r="N21" s="132"/>
      <c r="O21" s="134"/>
      <c r="P21" s="132">
        <f t="shared" si="7"/>
        <v>0</v>
      </c>
      <c r="S21" s="119"/>
    </row>
    <row r="22" spans="1:21" s="128" customFormat="1" ht="15" customHeight="1" x14ac:dyDescent="0.35">
      <c r="A22" s="129" t="s">
        <v>290</v>
      </c>
      <c r="B22" s="129"/>
      <c r="C22" s="126">
        <f>SUM(C18:C21)</f>
        <v>239739</v>
      </c>
      <c r="D22" s="126">
        <f>SUM(D18:D21)*15000</f>
        <v>0</v>
      </c>
      <c r="E22" s="126">
        <f>SUM(E18:E21)*15000</f>
        <v>0</v>
      </c>
      <c r="F22" s="126">
        <f>SUM(F18:F21)*15000</f>
        <v>0</v>
      </c>
      <c r="G22" s="126">
        <f>SUM(G18:G21)*15000</f>
        <v>0</v>
      </c>
      <c r="H22" s="126">
        <f>SUM(H18:H21)*15000</f>
        <v>0</v>
      </c>
      <c r="I22" s="126">
        <f t="shared" si="1"/>
        <v>0</v>
      </c>
      <c r="J22" s="127">
        <f t="shared" si="0"/>
        <v>0</v>
      </c>
      <c r="L22" s="126">
        <f>L18+L19+L20+L21</f>
        <v>79477</v>
      </c>
      <c r="M22" s="126">
        <f t="shared" ref="M22:O22" si="8">M18+M19+M20+M21</f>
        <v>0</v>
      </c>
      <c r="N22" s="126">
        <f t="shared" si="8"/>
        <v>0</v>
      </c>
      <c r="O22" s="126">
        <f t="shared" si="8"/>
        <v>2803</v>
      </c>
      <c r="P22" s="126">
        <f>SUM(P18:P21)</f>
        <v>82280</v>
      </c>
    </row>
    <row r="23" spans="1:21" ht="15" customHeight="1" x14ac:dyDescent="0.35">
      <c r="A23" s="130" t="s">
        <v>291</v>
      </c>
      <c r="B23" s="130"/>
      <c r="C23" s="131">
        <v>100000</v>
      </c>
      <c r="D23" s="132"/>
      <c r="E23" s="132"/>
      <c r="F23" s="132"/>
      <c r="G23" s="132"/>
      <c r="H23" s="132"/>
      <c r="I23" s="132">
        <f t="shared" si="1"/>
        <v>0</v>
      </c>
      <c r="J23" s="133">
        <f t="shared" si="0"/>
        <v>0</v>
      </c>
      <c r="L23" s="132">
        <v>100000</v>
      </c>
      <c r="M23" s="132">
        <v>0</v>
      </c>
      <c r="N23" s="132">
        <v>0</v>
      </c>
      <c r="O23" s="134">
        <v>0</v>
      </c>
      <c r="P23" s="132">
        <f>SUM(K23:O23)</f>
        <v>100000</v>
      </c>
    </row>
    <row r="24" spans="1:21" ht="15" customHeight="1" x14ac:dyDescent="0.35">
      <c r="A24" s="130" t="s">
        <v>292</v>
      </c>
      <c r="B24" s="130"/>
      <c r="C24" s="131">
        <v>275000</v>
      </c>
      <c r="D24" s="132"/>
      <c r="E24" s="132"/>
      <c r="F24" s="132"/>
      <c r="G24" s="132"/>
      <c r="H24" s="132"/>
      <c r="I24" s="132">
        <f t="shared" si="1"/>
        <v>0</v>
      </c>
      <c r="J24" s="133">
        <f t="shared" si="0"/>
        <v>0</v>
      </c>
      <c r="L24" s="132">
        <v>0</v>
      </c>
      <c r="M24" s="132">
        <v>0</v>
      </c>
      <c r="N24" s="132">
        <v>275000</v>
      </c>
      <c r="O24" s="134">
        <v>0</v>
      </c>
      <c r="P24" s="132">
        <f t="shared" ref="P24:P26" si="9">SUM(K24:O24)</f>
        <v>275000</v>
      </c>
      <c r="R24" s="119"/>
    </row>
    <row r="25" spans="1:21" ht="15" customHeight="1" x14ac:dyDescent="0.35">
      <c r="A25" s="130" t="s">
        <v>293</v>
      </c>
      <c r="B25" s="130"/>
      <c r="C25" s="131">
        <v>150000</v>
      </c>
      <c r="D25" s="132"/>
      <c r="E25" s="132"/>
      <c r="F25" s="132"/>
      <c r="G25" s="132"/>
      <c r="H25" s="132"/>
      <c r="I25" s="132">
        <f t="shared" si="1"/>
        <v>0</v>
      </c>
      <c r="J25" s="133">
        <f t="shared" si="0"/>
        <v>0</v>
      </c>
      <c r="L25" s="132">
        <v>50000</v>
      </c>
      <c r="M25" s="132">
        <v>0</v>
      </c>
      <c r="N25" s="132">
        <v>0</v>
      </c>
      <c r="O25" s="134">
        <v>50000</v>
      </c>
      <c r="P25" s="132">
        <f t="shared" si="9"/>
        <v>100000</v>
      </c>
      <c r="R25" s="119"/>
    </row>
    <row r="26" spans="1:21" ht="15" customHeight="1" x14ac:dyDescent="0.35">
      <c r="A26" s="130" t="s">
        <v>294</v>
      </c>
      <c r="B26" s="130"/>
      <c r="C26" s="131">
        <v>200000</v>
      </c>
      <c r="D26" s="132"/>
      <c r="E26" s="132"/>
      <c r="F26" s="132"/>
      <c r="G26" s="132"/>
      <c r="H26" s="132"/>
      <c r="I26" s="132">
        <f t="shared" si="1"/>
        <v>0</v>
      </c>
      <c r="J26" s="133">
        <f t="shared" si="0"/>
        <v>0</v>
      </c>
      <c r="L26" s="132">
        <v>0</v>
      </c>
      <c r="M26" s="132">
        <v>0</v>
      </c>
      <c r="N26" s="132">
        <v>0</v>
      </c>
      <c r="O26" s="134">
        <v>200000</v>
      </c>
      <c r="P26" s="132">
        <f t="shared" si="9"/>
        <v>200000</v>
      </c>
      <c r="R26" s="119"/>
    </row>
    <row r="27" spans="1:21" s="128" customFormat="1" ht="15" customHeight="1" x14ac:dyDescent="0.35">
      <c r="A27" s="129" t="s">
        <v>295</v>
      </c>
      <c r="B27" s="129"/>
      <c r="C27" s="137">
        <f>SUM(C23:C26)</f>
        <v>725000</v>
      </c>
      <c r="D27" s="126"/>
      <c r="E27" s="126"/>
      <c r="F27" s="126"/>
      <c r="G27" s="126"/>
      <c r="H27" s="126"/>
      <c r="I27" s="126">
        <f t="shared" si="1"/>
        <v>0</v>
      </c>
      <c r="J27" s="127">
        <f t="shared" si="0"/>
        <v>0</v>
      </c>
      <c r="L27" s="126">
        <f>SUM(L23:L26)</f>
        <v>150000</v>
      </c>
      <c r="M27" s="126">
        <f t="shared" ref="M27:O27" si="10">SUM(M23:M26)</f>
        <v>0</v>
      </c>
      <c r="N27" s="126">
        <f t="shared" si="10"/>
        <v>275000</v>
      </c>
      <c r="O27" s="126">
        <f t="shared" si="10"/>
        <v>250000</v>
      </c>
      <c r="P27" s="126">
        <f>P23+P24+P25+P26</f>
        <v>675000</v>
      </c>
      <c r="R27" s="167"/>
    </row>
    <row r="28" spans="1:21" ht="15" customHeight="1" x14ac:dyDescent="0.35">
      <c r="A28" s="130"/>
      <c r="B28" s="130"/>
      <c r="C28" s="130"/>
      <c r="D28" s="132"/>
      <c r="E28" s="132"/>
      <c r="F28" s="132"/>
      <c r="G28" s="132"/>
      <c r="H28" s="132"/>
      <c r="I28" s="132"/>
      <c r="J28" s="132"/>
      <c r="L28" s="132"/>
      <c r="M28" s="132"/>
      <c r="N28" s="132"/>
      <c r="O28" s="132"/>
      <c r="P28" s="132"/>
    </row>
    <row r="29" spans="1:21" ht="15" customHeight="1" x14ac:dyDescent="0.35">
      <c r="A29" s="130"/>
      <c r="B29" s="148"/>
      <c r="C29" s="148">
        <f t="shared" ref="C29:I29" si="11">C4+C5+C10+C14+C17+C22+C27</f>
        <v>4957766</v>
      </c>
      <c r="D29" s="149">
        <f t="shared" si="11"/>
        <v>0</v>
      </c>
      <c r="E29" s="149">
        <f t="shared" si="11"/>
        <v>0</v>
      </c>
      <c r="F29" s="148">
        <f t="shared" si="11"/>
        <v>600000</v>
      </c>
      <c r="G29" s="148">
        <f t="shared" si="11"/>
        <v>0</v>
      </c>
      <c r="H29" s="149">
        <f t="shared" si="11"/>
        <v>0</v>
      </c>
      <c r="I29" s="149">
        <f t="shared" si="11"/>
        <v>600000</v>
      </c>
      <c r="J29" s="127">
        <f>I29/C29</f>
        <v>0.12102225074761495</v>
      </c>
      <c r="L29" s="149">
        <f>L10+L14+L17+L22</f>
        <v>866860</v>
      </c>
      <c r="M29" s="149">
        <f t="shared" ref="M29:O29" si="12">M10+M14+M17+M22</f>
        <v>0</v>
      </c>
      <c r="N29" s="149">
        <f t="shared" si="12"/>
        <v>0</v>
      </c>
      <c r="O29" s="149">
        <f t="shared" si="12"/>
        <v>667863</v>
      </c>
      <c r="P29" s="198">
        <f>P5+P10+P14+P17+P22+P27</f>
        <v>2209723</v>
      </c>
    </row>
    <row r="30" spans="1:21" x14ac:dyDescent="0.35">
      <c r="M30" s="150"/>
      <c r="O30" s="151"/>
      <c r="P30" s="169">
        <v>902097</v>
      </c>
    </row>
    <row r="31" spans="1:21" x14ac:dyDescent="0.35">
      <c r="L31" s="261"/>
      <c r="M31" s="261"/>
      <c r="N31" s="261"/>
      <c r="O31" s="261"/>
      <c r="P31" s="119">
        <f>P29+P30</f>
        <v>3111820</v>
      </c>
    </row>
    <row r="32" spans="1:21" x14ac:dyDescent="0.35">
      <c r="L32" s="261"/>
      <c r="M32" s="261"/>
      <c r="N32" s="261"/>
      <c r="O32" s="261"/>
      <c r="P32" s="119"/>
    </row>
    <row r="33" spans="1:16" x14ac:dyDescent="0.35">
      <c r="L33" s="152"/>
      <c r="M33" s="152"/>
      <c r="N33" s="152"/>
      <c r="O33" s="152"/>
      <c r="P33" s="119"/>
    </row>
    <row r="34" spans="1:16" x14ac:dyDescent="0.35">
      <c r="P34" s="153"/>
    </row>
    <row r="36" spans="1:16" x14ac:dyDescent="0.35">
      <c r="P36" s="154"/>
    </row>
    <row r="37" spans="1:16" x14ac:dyDescent="0.35">
      <c r="A37" s="11" t="s">
        <v>296</v>
      </c>
    </row>
    <row r="38" spans="1:16" x14ac:dyDescent="0.35">
      <c r="P38" s="155"/>
    </row>
    <row r="40" spans="1:16" x14ac:dyDescent="0.35">
      <c r="A40" s="11" t="s">
        <v>296</v>
      </c>
    </row>
  </sheetData>
  <mergeCells count="4">
    <mergeCell ref="D2:J2"/>
    <mergeCell ref="L2:P2"/>
    <mergeCell ref="L31:O31"/>
    <mergeCell ref="L32:O3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opLeftCell="A40" workbookViewId="0">
      <selection activeCell="J25" sqref="J25:J28"/>
    </sheetView>
  </sheetViews>
  <sheetFormatPr baseColWidth="10" defaultColWidth="8.81640625" defaultRowHeight="14.5" x14ac:dyDescent="0.35"/>
  <cols>
    <col min="1" max="1" width="16.453125" customWidth="1"/>
    <col min="2" max="2" width="11.54296875" customWidth="1"/>
    <col min="3" max="3" width="7" customWidth="1"/>
    <col min="4" max="4" width="16" style="11" customWidth="1"/>
    <col min="5" max="9" width="7.54296875" style="119" customWidth="1"/>
    <col min="10" max="10" width="41.81640625" style="119" customWidth="1"/>
    <col min="11" max="11" width="33.1796875" style="119" customWidth="1"/>
  </cols>
  <sheetData>
    <row r="1" spans="1:11" x14ac:dyDescent="0.35">
      <c r="A1" t="s">
        <v>297</v>
      </c>
    </row>
    <row r="3" spans="1:11" x14ac:dyDescent="0.35">
      <c r="A3" s="156" t="s">
        <v>298</v>
      </c>
      <c r="B3" s="156" t="s">
        <v>299</v>
      </c>
      <c r="D3" s="11" t="s">
        <v>296</v>
      </c>
      <c r="F3" s="119" t="s">
        <v>296</v>
      </c>
    </row>
    <row r="4" spans="1:11" x14ac:dyDescent="0.35">
      <c r="A4" s="156">
        <v>1</v>
      </c>
      <c r="B4" s="156" t="s">
        <v>300</v>
      </c>
      <c r="D4" s="11" t="s">
        <v>296</v>
      </c>
      <c r="F4" s="119" t="s">
        <v>296</v>
      </c>
    </row>
    <row r="5" spans="1:11" x14ac:dyDescent="0.35">
      <c r="A5" t="s">
        <v>296</v>
      </c>
      <c r="D5" s="11" t="s">
        <v>296</v>
      </c>
      <c r="F5" s="119" t="s">
        <v>296</v>
      </c>
    </row>
    <row r="6" spans="1:11" x14ac:dyDescent="0.35">
      <c r="A6" t="s">
        <v>296</v>
      </c>
      <c r="D6" s="11" t="s">
        <v>296</v>
      </c>
      <c r="F6" s="119" t="s">
        <v>296</v>
      </c>
    </row>
    <row r="9" spans="1:11" x14ac:dyDescent="0.35">
      <c r="A9" s="122" t="s">
        <v>301</v>
      </c>
      <c r="B9" s="122" t="s">
        <v>262</v>
      </c>
      <c r="C9" s="122" t="s">
        <v>302</v>
      </c>
      <c r="D9" s="120" t="s">
        <v>260</v>
      </c>
      <c r="E9" s="279" t="s">
        <v>303</v>
      </c>
      <c r="F9" s="280"/>
      <c r="G9" s="280"/>
      <c r="H9" s="280"/>
      <c r="I9" s="281"/>
      <c r="J9" s="157" t="s">
        <v>304</v>
      </c>
      <c r="K9" s="157" t="s">
        <v>305</v>
      </c>
    </row>
    <row r="10" spans="1:11" x14ac:dyDescent="0.35">
      <c r="A10" s="122" t="s">
        <v>306</v>
      </c>
      <c r="B10" s="122"/>
      <c r="C10" s="122"/>
      <c r="D10" s="120"/>
      <c r="E10" s="123">
        <v>2019</v>
      </c>
      <c r="F10" s="123">
        <v>2020</v>
      </c>
      <c r="G10" s="123">
        <v>2021</v>
      </c>
      <c r="H10" s="123">
        <v>2022</v>
      </c>
      <c r="I10" s="123">
        <v>2023</v>
      </c>
      <c r="J10" s="123"/>
      <c r="K10" s="123"/>
    </row>
    <row r="11" spans="1:11" ht="41.5" customHeight="1" x14ac:dyDescent="0.35">
      <c r="A11" s="262" t="s">
        <v>307</v>
      </c>
      <c r="B11" s="282">
        <f>B14</f>
        <v>600000</v>
      </c>
      <c r="C11" s="282">
        <v>0</v>
      </c>
      <c r="D11" s="285" t="s">
        <v>296</v>
      </c>
      <c r="E11" s="282">
        <f>$A$4*2</f>
        <v>2</v>
      </c>
      <c r="F11" s="282">
        <v>0</v>
      </c>
      <c r="G11" s="282">
        <v>0</v>
      </c>
      <c r="H11" s="282">
        <v>0</v>
      </c>
      <c r="I11" s="288">
        <v>0</v>
      </c>
      <c r="J11" s="274" t="s">
        <v>308</v>
      </c>
      <c r="K11" s="277" t="s">
        <v>309</v>
      </c>
    </row>
    <row r="12" spans="1:11" ht="68.150000000000006" customHeight="1" x14ac:dyDescent="0.35">
      <c r="A12" s="263"/>
      <c r="B12" s="283"/>
      <c r="C12" s="283"/>
      <c r="D12" s="286"/>
      <c r="E12" s="283"/>
      <c r="F12" s="283"/>
      <c r="G12" s="283"/>
      <c r="H12" s="283"/>
      <c r="I12" s="289"/>
      <c r="J12" s="275"/>
      <c r="K12" s="278"/>
    </row>
    <row r="13" spans="1:11" ht="74.150000000000006" customHeight="1" x14ac:dyDescent="0.35">
      <c r="A13" s="264"/>
      <c r="B13" s="284"/>
      <c r="C13" s="284"/>
      <c r="D13" s="287"/>
      <c r="E13" s="284"/>
      <c r="F13" s="284"/>
      <c r="G13" s="284"/>
      <c r="H13" s="284"/>
      <c r="I13" s="290"/>
      <c r="J13" s="276"/>
      <c r="K13" s="278"/>
    </row>
    <row r="14" spans="1:11" x14ac:dyDescent="0.35">
      <c r="A14" s="125"/>
      <c r="B14" s="158">
        <f>SUM(E14:I14)</f>
        <v>600000</v>
      </c>
      <c r="C14" s="159"/>
      <c r="D14" s="160"/>
      <c r="E14" s="158">
        <f>E11*300000</f>
        <v>600000</v>
      </c>
      <c r="F14" s="158">
        <f>SUM(F11:F13)</f>
        <v>0</v>
      </c>
      <c r="G14" s="158">
        <f>SUM(G11:G13)</f>
        <v>0</v>
      </c>
      <c r="H14" s="158">
        <f>SUM(H11:H13)</f>
        <v>0</v>
      </c>
      <c r="I14" s="158">
        <f>SUM(I11:I13)</f>
        <v>0</v>
      </c>
      <c r="J14" s="158"/>
      <c r="K14" s="158"/>
    </row>
    <row r="15" spans="1:11" ht="29.5" customHeight="1" x14ac:dyDescent="0.35">
      <c r="A15" s="262" t="s">
        <v>310</v>
      </c>
      <c r="B15" s="132">
        <f>B18</f>
        <v>200000</v>
      </c>
      <c r="C15" s="132"/>
      <c r="D15" s="130"/>
      <c r="E15" s="132"/>
      <c r="F15" s="132"/>
      <c r="G15" s="132"/>
      <c r="H15" s="132"/>
      <c r="I15" s="132"/>
      <c r="J15" s="268" t="s">
        <v>311</v>
      </c>
      <c r="K15" s="268" t="s">
        <v>312</v>
      </c>
    </row>
    <row r="16" spans="1:11" ht="55.4" customHeight="1" x14ac:dyDescent="0.35">
      <c r="A16" s="263"/>
      <c r="B16" s="161"/>
      <c r="C16" s="161">
        <v>0</v>
      </c>
      <c r="D16" s="130" t="s">
        <v>313</v>
      </c>
      <c r="E16" s="132"/>
      <c r="F16" s="132">
        <f>$A$4*4</f>
        <v>4</v>
      </c>
      <c r="G16" s="132"/>
      <c r="H16" s="132"/>
      <c r="I16" s="132"/>
      <c r="J16" s="273"/>
      <c r="K16" s="273"/>
    </row>
    <row r="17" spans="1:11" ht="65.5" customHeight="1" x14ac:dyDescent="0.35">
      <c r="A17" s="264"/>
      <c r="B17" s="161"/>
      <c r="C17" s="161">
        <v>0</v>
      </c>
      <c r="D17" s="130" t="s">
        <v>314</v>
      </c>
      <c r="E17" s="132"/>
      <c r="F17" s="132"/>
      <c r="G17" s="132"/>
      <c r="H17" s="132">
        <f>A4*4</f>
        <v>4</v>
      </c>
      <c r="I17" s="132"/>
      <c r="J17" s="273"/>
      <c r="K17" s="273"/>
    </row>
    <row r="18" spans="1:11" x14ac:dyDescent="0.35">
      <c r="A18" s="125"/>
      <c r="B18" s="158">
        <f>SUM(E18:I18)</f>
        <v>200000</v>
      </c>
      <c r="C18" s="158"/>
      <c r="D18" s="160"/>
      <c r="E18" s="158"/>
      <c r="F18" s="158">
        <f>F16*25000</f>
        <v>100000</v>
      </c>
      <c r="G18" s="158">
        <v>0</v>
      </c>
      <c r="H18" s="158">
        <f>H17*25000</f>
        <v>100000</v>
      </c>
      <c r="I18" s="158">
        <f>SUM(I16:I17)</f>
        <v>0</v>
      </c>
      <c r="J18" s="158"/>
      <c r="K18" s="158"/>
    </row>
    <row r="19" spans="1:11" ht="29.15" customHeight="1" x14ac:dyDescent="0.35">
      <c r="A19" s="262" t="s">
        <v>315</v>
      </c>
      <c r="B19" s="132">
        <f>B24</f>
        <v>875000</v>
      </c>
      <c r="C19" s="132"/>
      <c r="D19" s="130"/>
      <c r="E19" s="132" t="s">
        <v>296</v>
      </c>
      <c r="F19" s="132"/>
      <c r="G19" s="132"/>
      <c r="H19" s="132"/>
      <c r="I19" s="132"/>
      <c r="J19" s="268" t="s">
        <v>316</v>
      </c>
      <c r="K19" s="268" t="s">
        <v>317</v>
      </c>
    </row>
    <row r="20" spans="1:11" ht="54" customHeight="1" x14ac:dyDescent="0.35">
      <c r="A20" s="263"/>
      <c r="B20" s="161"/>
      <c r="C20" s="161">
        <v>0</v>
      </c>
      <c r="D20" s="130" t="s">
        <v>274</v>
      </c>
      <c r="E20" s="132">
        <f>A4*0</f>
        <v>0</v>
      </c>
      <c r="F20" s="132">
        <f>$A$4*0</f>
        <v>0</v>
      </c>
      <c r="G20" s="132">
        <f>$A$4*5</f>
        <v>5</v>
      </c>
      <c r="H20" s="132">
        <f>$A$4*5</f>
        <v>5</v>
      </c>
      <c r="I20" s="132">
        <f>$A$4*5</f>
        <v>5</v>
      </c>
      <c r="J20" s="268"/>
      <c r="K20" s="268"/>
    </row>
    <row r="21" spans="1:11" ht="66.650000000000006" customHeight="1" x14ac:dyDescent="0.35">
      <c r="A21" s="263"/>
      <c r="B21" s="161"/>
      <c r="C21" s="161">
        <v>0</v>
      </c>
      <c r="D21" s="130" t="s">
        <v>275</v>
      </c>
      <c r="E21" s="132">
        <v>10</v>
      </c>
      <c r="F21" s="132">
        <v>40</v>
      </c>
      <c r="G21" s="132">
        <f>$A$4*40</f>
        <v>40</v>
      </c>
      <c r="H21" s="132">
        <f>$A$4*40</f>
        <v>40</v>
      </c>
      <c r="I21" s="132">
        <f>$A$4*40</f>
        <v>40</v>
      </c>
      <c r="J21" s="268"/>
      <c r="K21" s="268"/>
    </row>
    <row r="22" spans="1:11" ht="65.150000000000006" customHeight="1" x14ac:dyDescent="0.35">
      <c r="A22" s="263"/>
      <c r="B22" s="161"/>
      <c r="C22" s="161"/>
      <c r="D22" s="130" t="s">
        <v>318</v>
      </c>
      <c r="E22" s="132"/>
      <c r="F22" s="132">
        <f>$A$4*25</f>
        <v>25</v>
      </c>
      <c r="G22" s="132">
        <f>$A$4*25</f>
        <v>25</v>
      </c>
      <c r="H22" s="132">
        <f>$A$4*50</f>
        <v>50</v>
      </c>
      <c r="I22" s="132">
        <f>$A$4*50</f>
        <v>50</v>
      </c>
      <c r="J22" s="268"/>
      <c r="K22" s="268"/>
    </row>
    <row r="23" spans="1:11" ht="52.4" customHeight="1" x14ac:dyDescent="0.35">
      <c r="A23" s="264"/>
      <c r="B23" s="161"/>
      <c r="C23" s="161"/>
      <c r="D23" s="130" t="s">
        <v>319</v>
      </c>
      <c r="E23" s="132">
        <f>$A$4*20</f>
        <v>20</v>
      </c>
      <c r="F23" s="132">
        <f>$A$4*50</f>
        <v>50</v>
      </c>
      <c r="G23" s="132">
        <f>$A$4*50</f>
        <v>50</v>
      </c>
      <c r="H23" s="132">
        <f>$A$4*50</f>
        <v>50</v>
      </c>
      <c r="I23" s="132">
        <f>$A$4*50</f>
        <v>50</v>
      </c>
      <c r="J23" s="268"/>
      <c r="K23" s="268"/>
    </row>
    <row r="24" spans="1:11" x14ac:dyDescent="0.35">
      <c r="A24" s="125"/>
      <c r="B24" s="158">
        <f>SUM(E24:I24)</f>
        <v>875000</v>
      </c>
      <c r="C24" s="158"/>
      <c r="D24" s="160"/>
      <c r="E24" s="158">
        <f>$A$4*(25000+21000)</f>
        <v>46000</v>
      </c>
      <c r="F24" s="158">
        <f>$A$4*(95000+57000+10000)</f>
        <v>162000</v>
      </c>
      <c r="G24" s="158">
        <f>$A$4*(55000+95000+57000+10000)</f>
        <v>217000</v>
      </c>
      <c r="H24" s="158">
        <f>$A$4*(55000+95000+55000+20000)</f>
        <v>225000</v>
      </c>
      <c r="I24" s="158">
        <f>$A$4*(55000+95000+55000+20000)</f>
        <v>225000</v>
      </c>
      <c r="J24" s="158"/>
      <c r="K24" s="158"/>
    </row>
    <row r="25" spans="1:11" ht="28.4" customHeight="1" x14ac:dyDescent="0.35">
      <c r="A25" s="262" t="s">
        <v>320</v>
      </c>
      <c r="B25" s="132">
        <f>B29</f>
        <v>1590000</v>
      </c>
      <c r="C25" s="132"/>
      <c r="D25" s="130"/>
      <c r="E25" s="132"/>
      <c r="F25" s="132"/>
      <c r="G25" s="132"/>
      <c r="H25" s="132"/>
      <c r="I25" s="132"/>
      <c r="J25" s="268" t="s">
        <v>321</v>
      </c>
      <c r="K25" s="268" t="s">
        <v>322</v>
      </c>
    </row>
    <row r="26" spans="1:11" ht="47.5" customHeight="1" x14ac:dyDescent="0.35">
      <c r="A26" s="263"/>
      <c r="B26" s="161"/>
      <c r="C26" s="161"/>
      <c r="D26" s="130" t="s">
        <v>279</v>
      </c>
      <c r="E26" s="132"/>
      <c r="F26" s="132">
        <f>$A$4*2</f>
        <v>2</v>
      </c>
      <c r="G26" s="132">
        <f>$A$4</f>
        <v>1</v>
      </c>
      <c r="H26" s="132"/>
      <c r="I26" s="132">
        <f>$A$4</f>
        <v>1</v>
      </c>
      <c r="J26" s="273"/>
      <c r="K26" s="268"/>
    </row>
    <row r="27" spans="1:11" ht="75.650000000000006" customHeight="1" x14ac:dyDescent="0.35">
      <c r="A27" s="263"/>
      <c r="B27" s="161"/>
      <c r="C27" s="161"/>
      <c r="D27" s="130" t="s">
        <v>280</v>
      </c>
      <c r="E27" s="132">
        <f>$A$4*3</f>
        <v>3</v>
      </c>
      <c r="F27" s="132">
        <f>$A$4*3</f>
        <v>3</v>
      </c>
      <c r="G27" s="132">
        <f>$A$4*4</f>
        <v>4</v>
      </c>
      <c r="H27" s="132">
        <f>$A$4*4</f>
        <v>4</v>
      </c>
      <c r="I27" s="132">
        <f>$A$4*5</f>
        <v>5</v>
      </c>
      <c r="J27" s="273"/>
      <c r="K27" s="268"/>
    </row>
    <row r="28" spans="1:11" ht="69.650000000000006" customHeight="1" x14ac:dyDescent="0.35">
      <c r="A28" s="264"/>
      <c r="B28" s="161"/>
      <c r="C28" s="161"/>
      <c r="D28" s="130" t="s">
        <v>281</v>
      </c>
      <c r="G28" s="132">
        <f>$A$4*2</f>
        <v>2</v>
      </c>
      <c r="H28" s="132">
        <f>$A$4</f>
        <v>1</v>
      </c>
      <c r="I28" s="132"/>
      <c r="J28" s="273"/>
      <c r="K28" s="268"/>
    </row>
    <row r="29" spans="1:11" x14ac:dyDescent="0.35">
      <c r="A29" s="125"/>
      <c r="B29" s="158">
        <f>SUM(E29:I29)</f>
        <v>1590000</v>
      </c>
      <c r="C29" s="159"/>
      <c r="D29" s="160"/>
      <c r="E29" s="158">
        <f>($A$4*30000)</f>
        <v>30000</v>
      </c>
      <c r="F29" s="158">
        <f>($A$4*30000)+$A$4*(100000)</f>
        <v>130000</v>
      </c>
      <c r="G29" s="158">
        <f>($A$4*40000)+($A$4*2*300000)+($A$4*100000)</f>
        <v>740000</v>
      </c>
      <c r="H29" s="158">
        <f>($A$4*40000)+$A$4*300000</f>
        <v>340000</v>
      </c>
      <c r="I29" s="158">
        <f>($A$4*50000)+$A$4*300000</f>
        <v>350000</v>
      </c>
      <c r="J29" s="158"/>
      <c r="K29" s="158"/>
    </row>
    <row r="30" spans="1:11" ht="44.5" customHeight="1" x14ac:dyDescent="0.35">
      <c r="A30" s="262" t="s">
        <v>323</v>
      </c>
      <c r="B30" s="132">
        <f>B34</f>
        <v>620000</v>
      </c>
      <c r="C30" s="132"/>
      <c r="D30" s="130"/>
      <c r="E30" s="132"/>
      <c r="F30" s="132"/>
      <c r="G30" s="132" t="s">
        <v>296</v>
      </c>
      <c r="H30" s="132"/>
      <c r="I30" s="132"/>
      <c r="J30" s="268" t="s">
        <v>324</v>
      </c>
      <c r="K30" s="268" t="s">
        <v>325</v>
      </c>
    </row>
    <row r="31" spans="1:11" ht="65.150000000000006" customHeight="1" x14ac:dyDescent="0.35">
      <c r="A31" s="263"/>
      <c r="B31" s="161"/>
      <c r="C31" s="161"/>
      <c r="D31" s="130" t="s">
        <v>283</v>
      </c>
      <c r="E31" s="132">
        <f>25000*$A$4</f>
        <v>25000</v>
      </c>
      <c r="F31" s="132">
        <f>$A$4*75000</f>
        <v>75000</v>
      </c>
      <c r="G31" s="132">
        <f>$A$4*100000</f>
        <v>100000</v>
      </c>
      <c r="H31" s="132">
        <f>$A$4*100000</f>
        <v>100000</v>
      </c>
      <c r="I31" s="132">
        <f>$A$4*95000</f>
        <v>95000</v>
      </c>
      <c r="J31" s="268"/>
      <c r="K31" s="268"/>
    </row>
    <row r="32" spans="1:11" ht="62.15" customHeight="1" x14ac:dyDescent="0.35">
      <c r="A32" s="263"/>
      <c r="B32" s="161"/>
      <c r="C32" s="161"/>
      <c r="D32" s="130" t="s">
        <v>326</v>
      </c>
      <c r="E32" s="132">
        <f>$A$4*10</f>
        <v>10</v>
      </c>
      <c r="F32" s="132">
        <f>$A$4*50</f>
        <v>50</v>
      </c>
      <c r="G32" s="132">
        <f>$A$4*55</f>
        <v>55</v>
      </c>
      <c r="H32" s="132">
        <f>$A$4*55</f>
        <v>55</v>
      </c>
      <c r="I32" s="132">
        <f>$A$4*55</f>
        <v>55</v>
      </c>
      <c r="J32" s="268"/>
      <c r="K32" s="268"/>
    </row>
    <row r="33" spans="1:11" ht="71.150000000000006" customHeight="1" x14ac:dyDescent="0.35">
      <c r="A33" s="264"/>
      <c r="B33" s="161"/>
      <c r="C33" s="161"/>
      <c r="D33" s="130" t="s">
        <v>327</v>
      </c>
      <c r="E33" s="132"/>
      <c r="F33" s="132"/>
      <c r="G33" s="132"/>
      <c r="H33" s="132"/>
      <c r="I33" s="132"/>
      <c r="J33" s="268"/>
      <c r="K33" s="268"/>
    </row>
    <row r="34" spans="1:11" x14ac:dyDescent="0.35">
      <c r="A34" s="125"/>
      <c r="B34" s="158">
        <f>SUM(E34:I34)</f>
        <v>620000</v>
      </c>
      <c r="C34" s="159"/>
      <c r="D34" s="160"/>
      <c r="E34" s="158">
        <f>E31 + (E32*1000)</f>
        <v>35000</v>
      </c>
      <c r="F34" s="158">
        <f>F31 + (F32*1000)</f>
        <v>125000</v>
      </c>
      <c r="G34" s="158">
        <f>G31 + (G32*1000) +(G33*100000)</f>
        <v>155000</v>
      </c>
      <c r="H34" s="158">
        <f>H31 + (H32*1000)</f>
        <v>155000</v>
      </c>
      <c r="I34" s="158">
        <f>I31 + (I32*1000)</f>
        <v>150000</v>
      </c>
      <c r="J34" s="158"/>
      <c r="K34" s="158"/>
    </row>
    <row r="35" spans="1:11" ht="26.5" customHeight="1" x14ac:dyDescent="0.35">
      <c r="A35" s="262" t="s">
        <v>328</v>
      </c>
      <c r="B35" s="132">
        <f>B40</f>
        <v>240000</v>
      </c>
      <c r="C35" s="132"/>
      <c r="D35" s="130"/>
      <c r="E35" s="132"/>
      <c r="F35" s="132"/>
      <c r="G35" s="132"/>
      <c r="H35" s="132"/>
      <c r="I35" s="132"/>
      <c r="J35" s="269" t="s">
        <v>329</v>
      </c>
      <c r="K35" s="272" t="s">
        <v>330</v>
      </c>
    </row>
    <row r="36" spans="1:11" ht="29.15" customHeight="1" x14ac:dyDescent="0.35">
      <c r="A36" s="263"/>
      <c r="B36" s="161"/>
      <c r="C36" s="161"/>
      <c r="D36" s="130" t="s">
        <v>286</v>
      </c>
      <c r="E36" s="132"/>
      <c r="F36" s="132">
        <f t="shared" ref="E36:I39" si="0">$A$4</f>
        <v>1</v>
      </c>
      <c r="G36" s="132">
        <f t="shared" si="0"/>
        <v>1</v>
      </c>
      <c r="H36" s="132">
        <f t="shared" si="0"/>
        <v>1</v>
      </c>
      <c r="I36" s="132">
        <f t="shared" si="0"/>
        <v>1</v>
      </c>
      <c r="J36" s="270"/>
      <c r="K36" s="272"/>
    </row>
    <row r="37" spans="1:11" ht="36.65" customHeight="1" x14ac:dyDescent="0.35">
      <c r="A37" s="263"/>
      <c r="B37" s="161"/>
      <c r="C37" s="161"/>
      <c r="D37" s="130" t="s">
        <v>287</v>
      </c>
      <c r="E37" s="132">
        <f t="shared" si="0"/>
        <v>1</v>
      </c>
      <c r="F37" s="132">
        <f t="shared" si="0"/>
        <v>1</v>
      </c>
      <c r="G37" s="132"/>
      <c r="H37" s="132">
        <f t="shared" si="0"/>
        <v>1</v>
      </c>
      <c r="I37" s="132">
        <f t="shared" si="0"/>
        <v>1</v>
      </c>
      <c r="J37" s="270"/>
      <c r="K37" s="272"/>
    </row>
    <row r="38" spans="1:11" ht="33" customHeight="1" x14ac:dyDescent="0.35">
      <c r="A38" s="263"/>
      <c r="B38" s="161"/>
      <c r="C38" s="161"/>
      <c r="D38" s="130" t="s">
        <v>288</v>
      </c>
      <c r="E38" s="132">
        <f t="shared" si="0"/>
        <v>1</v>
      </c>
      <c r="F38" s="132">
        <f t="shared" si="0"/>
        <v>1</v>
      </c>
      <c r="G38" s="132">
        <f t="shared" si="0"/>
        <v>1</v>
      </c>
      <c r="H38" s="132">
        <f t="shared" si="0"/>
        <v>1</v>
      </c>
      <c r="I38" s="132">
        <f t="shared" si="0"/>
        <v>1</v>
      </c>
      <c r="J38" s="270"/>
      <c r="K38" s="272"/>
    </row>
    <row r="39" spans="1:11" ht="73.400000000000006" customHeight="1" x14ac:dyDescent="0.35">
      <c r="A39" s="264"/>
      <c r="B39" s="161"/>
      <c r="C39" s="161"/>
      <c r="D39" s="130" t="s">
        <v>289</v>
      </c>
      <c r="E39" s="132"/>
      <c r="F39" s="132">
        <f t="shared" si="0"/>
        <v>1</v>
      </c>
      <c r="G39" s="132">
        <f t="shared" si="0"/>
        <v>1</v>
      </c>
      <c r="H39" s="132">
        <f t="shared" si="0"/>
        <v>1</v>
      </c>
      <c r="I39" s="132"/>
      <c r="J39" s="271"/>
      <c r="K39" s="272"/>
    </row>
    <row r="40" spans="1:11" x14ac:dyDescent="0.35">
      <c r="A40" s="125"/>
      <c r="B40" s="158">
        <f>SUM(E40:I40)</f>
        <v>240000</v>
      </c>
      <c r="C40" s="159"/>
      <c r="D40" s="160"/>
      <c r="E40" s="158">
        <f>SUM(E36:E39)*15000</f>
        <v>30000</v>
      </c>
      <c r="F40" s="158">
        <f>SUM(F36:F39)*15000</f>
        <v>60000</v>
      </c>
      <c r="G40" s="158">
        <f>SUM(G36:G39)*15000</f>
        <v>45000</v>
      </c>
      <c r="H40" s="158">
        <f>SUM(H36:H39)*15000</f>
        <v>60000</v>
      </c>
      <c r="I40" s="158">
        <f>SUM(I36:I39)*15000</f>
        <v>45000</v>
      </c>
      <c r="J40" s="158"/>
      <c r="K40" s="158"/>
    </row>
    <row r="41" spans="1:11" ht="32.5" customHeight="1" x14ac:dyDescent="0.35">
      <c r="A41" s="262" t="s">
        <v>331</v>
      </c>
      <c r="B41" s="132">
        <f>B47</f>
        <v>375000</v>
      </c>
      <c r="C41" s="132"/>
      <c r="D41" s="130"/>
      <c r="E41" s="132"/>
      <c r="F41" s="132"/>
      <c r="G41" s="132"/>
      <c r="H41" s="132"/>
      <c r="I41" s="132"/>
      <c r="J41" s="265" t="s">
        <v>332</v>
      </c>
      <c r="K41" s="265" t="s">
        <v>333</v>
      </c>
    </row>
    <row r="42" spans="1:11" ht="33" customHeight="1" x14ac:dyDescent="0.35">
      <c r="A42" s="263"/>
      <c r="B42" s="161"/>
      <c r="C42" s="161"/>
      <c r="D42" s="130" t="s">
        <v>291</v>
      </c>
      <c r="E42" s="132"/>
      <c r="F42" s="132"/>
      <c r="G42" s="132"/>
      <c r="H42" s="132">
        <f>$A$4</f>
        <v>1</v>
      </c>
      <c r="I42" s="132"/>
      <c r="J42" s="266"/>
      <c r="K42" s="266"/>
    </row>
    <row r="43" spans="1:11" ht="43.4" customHeight="1" x14ac:dyDescent="0.35">
      <c r="A43" s="263"/>
      <c r="B43" s="161"/>
      <c r="C43" s="161"/>
      <c r="D43" s="130" t="s">
        <v>334</v>
      </c>
      <c r="E43" s="132"/>
      <c r="F43" s="132"/>
      <c r="G43" s="132"/>
      <c r="H43" s="132"/>
      <c r="I43" s="132" t="s">
        <v>296</v>
      </c>
      <c r="J43" s="266"/>
      <c r="K43" s="266"/>
    </row>
    <row r="44" spans="1:11" ht="22" x14ac:dyDescent="0.35">
      <c r="A44" s="263"/>
      <c r="B44" s="161"/>
      <c r="C44" s="161"/>
      <c r="D44" s="130" t="s">
        <v>292</v>
      </c>
      <c r="E44" s="132"/>
      <c r="F44" s="132"/>
      <c r="G44" s="132">
        <f>$A$4*1</f>
        <v>1</v>
      </c>
      <c r="H44" s="132"/>
      <c r="I44" s="132"/>
      <c r="J44" s="266"/>
      <c r="K44" s="266"/>
    </row>
    <row r="45" spans="1:11" ht="36" customHeight="1" x14ac:dyDescent="0.35">
      <c r="A45" s="264"/>
      <c r="B45" s="161"/>
      <c r="C45" s="161"/>
      <c r="D45" s="130" t="s">
        <v>293</v>
      </c>
      <c r="E45" s="132"/>
      <c r="F45" s="132">
        <f>$A$4*1</f>
        <v>1</v>
      </c>
      <c r="G45" s="132"/>
      <c r="H45" s="132">
        <f>$A$4*1</f>
        <v>1</v>
      </c>
      <c r="I45" s="132"/>
      <c r="J45" s="266"/>
      <c r="K45" s="266"/>
    </row>
    <row r="46" spans="1:11" ht="36" customHeight="1" x14ac:dyDescent="0.35">
      <c r="A46" s="162"/>
      <c r="B46" s="161"/>
      <c r="C46" s="161"/>
      <c r="D46" s="163" t="s">
        <v>294</v>
      </c>
      <c r="E46" s="132"/>
      <c r="F46" s="132"/>
      <c r="G46" s="132"/>
      <c r="H46" s="132"/>
      <c r="I46" s="132">
        <f>$A$4</f>
        <v>1</v>
      </c>
      <c r="J46" s="267"/>
      <c r="K46" s="267"/>
    </row>
    <row r="47" spans="1:11" x14ac:dyDescent="0.35">
      <c r="A47" s="125"/>
      <c r="B47" s="158">
        <f>SUM(E47:I47)</f>
        <v>375000</v>
      </c>
      <c r="C47" s="159"/>
      <c r="D47" s="160"/>
      <c r="E47" s="158">
        <f>SUM(E42:E45)</f>
        <v>0</v>
      </c>
      <c r="F47" s="158">
        <f>$A$4*(50000)</f>
        <v>50000</v>
      </c>
      <c r="G47" s="158">
        <f>$A$4*(75000)</f>
        <v>75000</v>
      </c>
      <c r="H47" s="158">
        <f>$A$4*(50000)+$A$4*100000</f>
        <v>150000</v>
      </c>
      <c r="I47" s="158">
        <f>$A$4*100000</f>
        <v>100000</v>
      </c>
      <c r="J47" s="158"/>
      <c r="K47" s="158"/>
    </row>
    <row r="48" spans="1:11" x14ac:dyDescent="0.35">
      <c r="A48" s="122"/>
      <c r="B48" s="161"/>
      <c r="C48" s="161"/>
      <c r="D48" s="130"/>
      <c r="E48" s="132"/>
      <c r="F48" s="132"/>
      <c r="G48" s="132"/>
      <c r="H48" s="132"/>
      <c r="I48" s="132"/>
      <c r="J48" s="132"/>
      <c r="K48" s="132"/>
    </row>
    <row r="49" spans="1:11" ht="28.4" customHeight="1" x14ac:dyDescent="0.35">
      <c r="A49" s="164" t="s">
        <v>335</v>
      </c>
      <c r="B49" s="148">
        <f>B14+B18+B24+B29+B34+B40+B47</f>
        <v>4500000</v>
      </c>
      <c r="C49" s="148"/>
      <c r="D49" s="130"/>
      <c r="E49" s="149">
        <f>E14+E18+E24+E29+E34+E40+E47</f>
        <v>741000</v>
      </c>
      <c r="F49" s="149">
        <f>F14+F18+F24+F29+F34+F40+F47</f>
        <v>627000</v>
      </c>
      <c r="G49" s="148">
        <f>G14+G18+G24+G29+G34+G40+G47</f>
        <v>1232000</v>
      </c>
      <c r="H49" s="148">
        <f>H14+H18+H24+H29+H34+H40+H47</f>
        <v>1030000</v>
      </c>
      <c r="I49" s="149">
        <f>I14+I18+I24+I29+I34+I40+I47</f>
        <v>870000</v>
      </c>
      <c r="J49" s="149"/>
      <c r="K49" s="132"/>
    </row>
    <row r="55" spans="1:11" x14ac:dyDescent="0.35">
      <c r="D55" s="11" t="s">
        <v>296</v>
      </c>
    </row>
    <row r="58" spans="1:11" x14ac:dyDescent="0.35">
      <c r="D58" s="11" t="s">
        <v>296</v>
      </c>
    </row>
  </sheetData>
  <mergeCells count="30">
    <mergeCell ref="J11:J13"/>
    <mergeCell ref="K11:K13"/>
    <mergeCell ref="A15:A17"/>
    <mergeCell ref="E9:I9"/>
    <mergeCell ref="A11:A13"/>
    <mergeCell ref="B11:B13"/>
    <mergeCell ref="C11:C13"/>
    <mergeCell ref="D11:D13"/>
    <mergeCell ref="E11:E13"/>
    <mergeCell ref="F11:F13"/>
    <mergeCell ref="G11:G13"/>
    <mergeCell ref="H11:H13"/>
    <mergeCell ref="I11:I13"/>
    <mergeCell ref="J15:J17"/>
    <mergeCell ref="K15:K17"/>
    <mergeCell ref="A25:A28"/>
    <mergeCell ref="J25:J28"/>
    <mergeCell ref="K25:K28"/>
    <mergeCell ref="A19:A23"/>
    <mergeCell ref="J19:J23"/>
    <mergeCell ref="K19:K23"/>
    <mergeCell ref="A41:A45"/>
    <mergeCell ref="J41:J46"/>
    <mergeCell ref="K41:K46"/>
    <mergeCell ref="A30:A33"/>
    <mergeCell ref="J30:J33"/>
    <mergeCell ref="K30:K33"/>
    <mergeCell ref="A35:A39"/>
    <mergeCell ref="J35:J39"/>
    <mergeCell ref="K35:K3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axCatchAll xmlns="794cbd40-fc6d-4c0a-9217-0f6cd4b26116" xsi:nil="true"/>
    <lcf76f155ced4ddcb4097134ff3c332f xmlns="aeaaafad-0aeb-47f1-beb2-3e40a0446ae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673C04CFF664498C6D230F7DC9002D" ma:contentTypeVersion="19" ma:contentTypeDescription="Create a new document." ma:contentTypeScope="" ma:versionID="9d0228dc8e8881149f13339f46072468">
  <xsd:schema xmlns:xsd="http://www.w3.org/2001/XMLSchema" xmlns:xs="http://www.w3.org/2001/XMLSchema" xmlns:p="http://schemas.microsoft.com/office/2006/metadata/properties" xmlns:ns2="aeaaafad-0aeb-47f1-beb2-3e40a0446ae1" xmlns:ns3="794cbd40-fc6d-4c0a-9217-0f6cd4b26116" targetNamespace="http://schemas.microsoft.com/office/2006/metadata/properties" ma:root="true" ma:fieldsID="70a16b68e8d9281f3cea3dcce48a5fd9" ns2:_="" ns3:_="">
    <xsd:import namespace="aeaaafad-0aeb-47f1-beb2-3e40a0446ae1"/>
    <xsd:import namespace="794cbd40-fc6d-4c0a-9217-0f6cd4b261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aaafad-0aeb-47f1-beb2-3e40a0446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a3f2f0c-00e4-4e4f-add3-e818a4e3ba6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94cbd40-fc6d-4c0a-9217-0f6cd4b261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2982a3c-a517-4a4b-806b-1d2044dc0380}" ma:internalName="TaxCatchAll" ma:showField="CatchAllData" ma:web="794cbd40-fc6d-4c0a-9217-0f6cd4b26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5268A0-2CCB-4349-A1A6-F8BB2AC4AC2F}">
  <ds:schemaRefs>
    <ds:schemaRef ds:uri="http://schemas.microsoft.com/office/2006/documentManagement/types"/>
    <ds:schemaRef ds:uri="794cbd40-fc6d-4c0a-9217-0f6cd4b26116"/>
    <ds:schemaRef ds:uri="http://www.w3.org/XML/1998/namespace"/>
    <ds:schemaRef ds:uri="http://schemas.openxmlformats.org/package/2006/metadata/core-properties"/>
    <ds:schemaRef ds:uri="http://purl.org/dc/terms/"/>
    <ds:schemaRef ds:uri="http://purl.org/dc/elements/1.1/"/>
    <ds:schemaRef ds:uri="http://schemas.microsoft.com/office/infopath/2007/PartnerControls"/>
    <ds:schemaRef ds:uri="aeaaafad-0aeb-47f1-beb2-3e40a0446ae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A4F2269-1790-4187-B402-9A57E1E855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aaafad-0aeb-47f1-beb2-3e40a0446ae1"/>
    <ds:schemaRef ds:uri="794cbd40-fc6d-4c0a-9217-0f6cd4b26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DF1D51-8F4C-4AD5-944A-DBD9A82713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PTBA_2024</vt:lpstr>
      <vt:lpstr>Etat_decaissement</vt:lpstr>
      <vt:lpstr>Table_DLI</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Harrison</dc:creator>
  <cp:lastModifiedBy>HP</cp:lastModifiedBy>
  <cp:revision/>
  <dcterms:created xsi:type="dcterms:W3CDTF">2018-12-14T02:06:16Z</dcterms:created>
  <dcterms:modified xsi:type="dcterms:W3CDTF">2024-10-11T10:09:54Z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0x01010064673C04CFF664498C6D230F7DC9002D</vt:lpwstr>
  </property>
  <property fmtid="{D5CDD505-2E9C-101B-9397-08002B2CF9AE}" pid="3" name="MediaServiceImageTags">
    <vt:lpwstr/>
  </property>
</Properties>
</file>