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HP\Documents\1_PTBA_2025_VF_240225\"/>
    </mc:Choice>
  </mc:AlternateContent>
  <bookViews>
    <workbookView xWindow="0" yWindow="0" windowWidth="19200" windowHeight="6930"/>
  </bookViews>
  <sheets>
    <sheet name="PTBA_2025" sheetId="7" r:id="rId1"/>
    <sheet name="Etat_decaissement" sheetId="6" r:id="rId2"/>
    <sheet name="Table_DLI" sheetId="8" r:id="rId3"/>
  </sheets>
  <calcPr calcId="162913" concurrentCalc="0"/>
</workbook>
</file>

<file path=xl/calcChain.xml><?xml version="1.0" encoding="utf-8"?>
<calcChain xmlns="http://schemas.openxmlformats.org/spreadsheetml/2006/main">
  <c r="X115" i="7" l="1"/>
  <c r="W13" i="7"/>
  <c r="W18" i="7"/>
  <c r="W21" i="7"/>
  <c r="W24" i="7"/>
  <c r="W31" i="7"/>
  <c r="W37" i="7"/>
  <c r="W42" i="7"/>
  <c r="W59" i="7"/>
  <c r="W64" i="7"/>
  <c r="W87" i="7"/>
  <c r="W101" i="7"/>
  <c r="W107" i="7"/>
  <c r="W115" i="7"/>
  <c r="X116" i="7"/>
  <c r="P31" i="6"/>
  <c r="X117" i="7"/>
  <c r="R38" i="6"/>
  <c r="P16" i="6"/>
  <c r="A37" i="6"/>
  <c r="V35" i="6"/>
  <c r="P17" i="6"/>
  <c r="P29" i="6"/>
  <c r="T34" i="6"/>
  <c r="T36" i="6"/>
  <c r="V37" i="6"/>
  <c r="T28" i="6"/>
  <c r="V26" i="6"/>
  <c r="P12" i="6"/>
  <c r="P13" i="6"/>
  <c r="P14" i="6"/>
  <c r="P25" i="6"/>
  <c r="P26" i="6"/>
  <c r="P27" i="6"/>
  <c r="P24" i="6"/>
  <c r="P23" i="6"/>
  <c r="P18" i="6"/>
  <c r="P20" i="6"/>
  <c r="P19" i="6"/>
  <c r="P22" i="6"/>
  <c r="P15" i="6"/>
  <c r="P11" i="6"/>
  <c r="P6" i="6"/>
  <c r="P7" i="6"/>
  <c r="P8" i="6"/>
  <c r="P9" i="6"/>
  <c r="P10" i="6"/>
  <c r="P21" i="6"/>
  <c r="L22" i="6"/>
  <c r="N10" i="6"/>
  <c r="M10" i="6"/>
  <c r="I14" i="8"/>
  <c r="I18" i="8"/>
  <c r="I24" i="8"/>
  <c r="I29" i="8"/>
  <c r="I31" i="8"/>
  <c r="I32" i="8"/>
  <c r="I34" i="8"/>
  <c r="I36" i="8"/>
  <c r="I37" i="8"/>
  <c r="I38" i="8"/>
  <c r="I40" i="8"/>
  <c r="I47" i="8"/>
  <c r="I49" i="8"/>
  <c r="H14" i="8"/>
  <c r="H17" i="8"/>
  <c r="H18" i="8"/>
  <c r="H24" i="8"/>
  <c r="H29" i="8"/>
  <c r="H31" i="8"/>
  <c r="H32" i="8"/>
  <c r="H34" i="8"/>
  <c r="H36" i="8"/>
  <c r="H37" i="8"/>
  <c r="H38" i="8"/>
  <c r="H39" i="8"/>
  <c r="H40" i="8"/>
  <c r="H47" i="8"/>
  <c r="H49" i="8"/>
  <c r="G14" i="8"/>
  <c r="G24" i="8"/>
  <c r="G29" i="8"/>
  <c r="G31" i="8"/>
  <c r="G32" i="8"/>
  <c r="G34" i="8"/>
  <c r="G36" i="8"/>
  <c r="G38" i="8"/>
  <c r="G39" i="8"/>
  <c r="G40" i="8"/>
  <c r="G47" i="8"/>
  <c r="G49" i="8"/>
  <c r="F14" i="8"/>
  <c r="F16" i="8"/>
  <c r="F18" i="8"/>
  <c r="F24" i="8"/>
  <c r="F29" i="8"/>
  <c r="F31" i="8"/>
  <c r="F32" i="8"/>
  <c r="F34" i="8"/>
  <c r="F36" i="8"/>
  <c r="F37" i="8"/>
  <c r="F38" i="8"/>
  <c r="F39" i="8"/>
  <c r="F40" i="8"/>
  <c r="F47" i="8"/>
  <c r="F49" i="8"/>
  <c r="E11" i="8"/>
  <c r="E14" i="8"/>
  <c r="E24" i="8"/>
  <c r="E29" i="8"/>
  <c r="E31" i="8"/>
  <c r="E32" i="8"/>
  <c r="E34" i="8"/>
  <c r="E37" i="8"/>
  <c r="E38" i="8"/>
  <c r="E40" i="8"/>
  <c r="E47" i="8"/>
  <c r="E49" i="8"/>
  <c r="B14" i="8"/>
  <c r="B18" i="8"/>
  <c r="B24" i="8"/>
  <c r="B29" i="8"/>
  <c r="B34" i="8"/>
  <c r="B40" i="8"/>
  <c r="B47" i="8"/>
  <c r="B49" i="8"/>
  <c r="I46" i="8"/>
  <c r="H45" i="8"/>
  <c r="F45" i="8"/>
  <c r="G44" i="8"/>
  <c r="H42" i="8"/>
  <c r="B41" i="8"/>
  <c r="B35" i="8"/>
  <c r="B30" i="8"/>
  <c r="H28" i="8"/>
  <c r="G28" i="8"/>
  <c r="I27" i="8"/>
  <c r="H27" i="8"/>
  <c r="G27" i="8"/>
  <c r="F27" i="8"/>
  <c r="E27" i="8"/>
  <c r="I26" i="8"/>
  <c r="G26" i="8"/>
  <c r="F26" i="8"/>
  <c r="B25" i="8"/>
  <c r="I23" i="8"/>
  <c r="H23" i="8"/>
  <c r="G23" i="8"/>
  <c r="F23" i="8"/>
  <c r="E23" i="8"/>
  <c r="I22" i="8"/>
  <c r="H22" i="8"/>
  <c r="G22" i="8"/>
  <c r="F22" i="8"/>
  <c r="I21" i="8"/>
  <c r="H21" i="8"/>
  <c r="G21" i="8"/>
  <c r="I20" i="8"/>
  <c r="H20" i="8"/>
  <c r="G20" i="8"/>
  <c r="F20" i="8"/>
  <c r="E20" i="8"/>
  <c r="B19" i="8"/>
  <c r="B15" i="8"/>
  <c r="B11" i="8"/>
  <c r="O10" i="6"/>
  <c r="M22" i="6"/>
  <c r="N22" i="6"/>
  <c r="O22" i="6"/>
  <c r="O14" i="6"/>
  <c r="O17" i="6"/>
  <c r="O29" i="6"/>
  <c r="N14" i="6"/>
  <c r="N17" i="6"/>
  <c r="N29" i="6"/>
  <c r="M14" i="6"/>
  <c r="M17" i="6"/>
  <c r="M29" i="6"/>
  <c r="L14" i="6"/>
  <c r="L10" i="6"/>
  <c r="L17" i="6"/>
  <c r="L29" i="6"/>
  <c r="I4" i="6"/>
  <c r="I5" i="6"/>
  <c r="I10" i="6"/>
  <c r="I14" i="6"/>
  <c r="I17" i="6"/>
  <c r="D22" i="6"/>
  <c r="E22" i="6"/>
  <c r="F22" i="6"/>
  <c r="G22" i="6"/>
  <c r="H22" i="6"/>
  <c r="I22" i="6"/>
  <c r="I27" i="6"/>
  <c r="I29" i="6"/>
  <c r="C10" i="6"/>
  <c r="C14" i="6"/>
  <c r="C17" i="6"/>
  <c r="C22" i="6"/>
  <c r="C27" i="6"/>
  <c r="C29" i="6"/>
  <c r="J29" i="6"/>
  <c r="H29" i="6"/>
  <c r="G29" i="6"/>
  <c r="F29" i="6"/>
  <c r="E29" i="6"/>
  <c r="D29" i="6"/>
  <c r="O27" i="6"/>
  <c r="N27" i="6"/>
  <c r="M27" i="6"/>
  <c r="L27" i="6"/>
  <c r="J27" i="6"/>
  <c r="I26" i="6"/>
  <c r="J26" i="6"/>
  <c r="I25" i="6"/>
  <c r="J25" i="6"/>
  <c r="I24" i="6"/>
  <c r="J24" i="6"/>
  <c r="I23" i="6"/>
  <c r="J23" i="6"/>
  <c r="J22" i="6"/>
  <c r="I21" i="6"/>
  <c r="I20" i="6"/>
  <c r="J20" i="6"/>
  <c r="I19" i="6"/>
  <c r="J19" i="6"/>
  <c r="I18" i="6"/>
  <c r="J18" i="6"/>
  <c r="J17" i="6"/>
  <c r="I16" i="6"/>
  <c r="J16" i="6"/>
  <c r="I15" i="6"/>
  <c r="J15" i="6"/>
  <c r="J14" i="6"/>
  <c r="I13" i="6"/>
  <c r="J13" i="6"/>
  <c r="I12" i="6"/>
  <c r="J12" i="6"/>
  <c r="I11" i="6"/>
  <c r="J11" i="6"/>
  <c r="J10" i="6"/>
  <c r="I9" i="6"/>
  <c r="J9" i="6"/>
  <c r="I8" i="6"/>
  <c r="J8" i="6"/>
  <c r="I7" i="6"/>
  <c r="J7" i="6"/>
  <c r="I6" i="6"/>
  <c r="J6" i="6"/>
  <c r="J5" i="6"/>
  <c r="P4" i="6"/>
  <c r="J4" i="6"/>
  <c r="AC71" i="7"/>
  <c r="AB17" i="7"/>
</calcChain>
</file>

<file path=xl/sharedStrings.xml><?xml version="1.0" encoding="utf-8"?>
<sst xmlns="http://schemas.openxmlformats.org/spreadsheetml/2006/main" count="503" uniqueCount="334">
  <si>
    <t>Nom du centre</t>
  </si>
  <si>
    <t>CEA_EM_EMIG</t>
  </si>
  <si>
    <t>Institution</t>
  </si>
  <si>
    <t>Ecole des Mines, de l'industrie et de la Géologie (EMIG)</t>
  </si>
  <si>
    <t>Dans les délais prévus</t>
  </si>
  <si>
    <t>Pays</t>
  </si>
  <si>
    <t>Niger</t>
  </si>
  <si>
    <t>Leader du centre</t>
  </si>
  <si>
    <t>Dr OUSMAN MAHAMADOU</t>
  </si>
  <si>
    <t>En retard sur le programme</t>
  </si>
  <si>
    <t>Plan de travail annuel (mois XXX-mois XXX, année)</t>
  </si>
  <si>
    <t>Activités du plan de travail</t>
  </si>
  <si>
    <t>Description</t>
  </si>
  <si>
    <t>Contribution des partenaires (le cas échéant)</t>
  </si>
  <si>
    <t>Etapes / Résultats</t>
  </si>
  <si>
    <t>Si NOUVEAU, fournir une justification</t>
  </si>
  <si>
    <t>Budget estimé ($)</t>
  </si>
  <si>
    <t>Estimation des recettes ($)</t>
  </si>
  <si>
    <t>Contribution du partenaire ($)</t>
  </si>
  <si>
    <t>Responsible</t>
  </si>
  <si>
    <t>Jan</t>
  </si>
  <si>
    <t>Feb</t>
  </si>
  <si>
    <t>Mar</t>
  </si>
  <si>
    <t>Avr</t>
  </si>
  <si>
    <t>Mai</t>
  </si>
  <si>
    <t>Jui</t>
  </si>
  <si>
    <t>Jul</t>
  </si>
  <si>
    <t>Aout</t>
  </si>
  <si>
    <t>Sep</t>
  </si>
  <si>
    <t>Oct</t>
  </si>
  <si>
    <t>Nov</t>
  </si>
  <si>
    <t>Dec</t>
  </si>
  <si>
    <t>Action 2: A-2-Assurer une gouvernance de qualité\Action du DLI 2</t>
  </si>
  <si>
    <t>Centre</t>
  </si>
  <si>
    <t>Sous-Action 2b: A-2-2- Cérémonies de remise de diplôme et réunions des différents comités</t>
  </si>
  <si>
    <t>Organisation de la réunion du CCS</t>
  </si>
  <si>
    <t>CEA_EM-EMIG</t>
  </si>
  <si>
    <t>Procès-verbaux des réunions.</t>
  </si>
  <si>
    <t>PM</t>
  </si>
  <si>
    <t>Organisation de la réunion</t>
  </si>
  <si>
    <t>Missions  de rencontre régionale</t>
  </si>
  <si>
    <t>Ordre et rapport des missions</t>
  </si>
  <si>
    <t xml:space="preserve">Sous-Action 2c: A-2-3- Communication 
interne et externe
</t>
  </si>
  <si>
    <t>Suivi et mise à jour du site; Meilleure visiblité du site</t>
  </si>
  <si>
    <t>Action 3: A-3-Développer la formation 
et améliorer sa qualité\Action du DLI 3</t>
  </si>
  <si>
    <t>Sous-Action 3a: A-3-2- Amélioration des conditions de travail des étudiants</t>
  </si>
  <si>
    <t>Abonnement internet haut débit et bibliothèque numérique</t>
  </si>
  <si>
    <t>Factures</t>
  </si>
  <si>
    <t>Sous-Action 3c: A-3-3- Formations de courte durée</t>
  </si>
  <si>
    <t>Sous-Action 3d: A-3-4- Formation des formateurs (Formation spécifique ciblée, pédagogie universitaire)</t>
  </si>
  <si>
    <t>Sous-Action 3e: A-3-5-Recrutement des étudiants et des doctorants (ILD3)</t>
  </si>
  <si>
    <t>Registre d’inscription</t>
  </si>
  <si>
    <t>Sous-Action 3F: A-3-6- Mise en œuvre des formations</t>
  </si>
  <si>
    <t xml:space="preserve">Sous-Action 3g: A-3-7- Accréditation des programmes </t>
  </si>
  <si>
    <t>Sous-Action 3h: A-3-8- Suivi et aide à l’insertion professionnelle</t>
  </si>
  <si>
    <t xml:space="preserve">Action 4: A-4- Développer la recherche et améliorer sa qualité ILD cible : ILD 5		</t>
  </si>
  <si>
    <t>Sous-Action 4a: A-4-1- Mise en œuvre de la recherche</t>
  </si>
  <si>
    <t>Equipes de recherche habiletées;  Des articles de recherche publiés, Des mémoires et des thèses soutenues,</t>
  </si>
  <si>
    <t>Nombre des thèmes élaborés</t>
  </si>
  <si>
    <t>TDR des mobilités</t>
  </si>
  <si>
    <t>Action 5: A-5-Améliorer les infrastructures et les équipements d’enseignement et de recherche (ILD4)\Action du DLI 4</t>
  </si>
  <si>
    <t xml:space="preserve">Sous-Action 5a: A-5-1- Réalisation des nouvelles infrastructures et Réhabilitation du forage </t>
  </si>
  <si>
    <t>Elaboration des TDRs;
Lancement de l'avis à manifestation;
préselection,selection et signature du contrat.</t>
  </si>
  <si>
    <t>CEA_EMI-EMIG</t>
  </si>
  <si>
    <t>Disponibilité des infrastructures</t>
  </si>
  <si>
    <t>Suivi des activités du l'IDL 4.3</t>
  </si>
  <si>
    <t>Le PGES est mise en œuvre</t>
  </si>
  <si>
    <t>Sous-Action 5b: A-5-2- Acquisition des matériels roulants (IDL4)</t>
  </si>
  <si>
    <t>Sous-Action 5c: A-5-3- Acquisition des équipements pédagogiques et de recherche (ILD4)</t>
  </si>
  <si>
    <t>Action 6: A-6- Développer les partenariats et générer des revenus</t>
  </si>
  <si>
    <t>Sous-Action 6a: A-6-1- Développement des partenariats (ILD1)</t>
  </si>
  <si>
    <t>Sous-Action 6b: A-6-2- Collecte des fonds et subventions (ILD5)</t>
  </si>
  <si>
    <t>Action 7: A-7- Assurer un fonctionnement de qualité</t>
  </si>
  <si>
    <t>Activité 1: Rémunération du comptable principal.</t>
  </si>
  <si>
    <t>Le comptable assure ses tâches regulières et est payé</t>
  </si>
  <si>
    <t>Comptable récruté</t>
  </si>
  <si>
    <t>Un rapport d'audit est produit</t>
  </si>
  <si>
    <t>Cabinet récruté</t>
  </si>
  <si>
    <t>Resultats transmis sur la plate forme</t>
  </si>
  <si>
    <t>Rapports d'audit produits</t>
  </si>
  <si>
    <t>Rémuneration</t>
  </si>
  <si>
    <t>Les activités du projet sont coordonnées et les indicateurs sont bien suivis;
Compte rendu fait au Directeur du centre</t>
  </si>
  <si>
    <t>Reçus et factures réglés</t>
  </si>
  <si>
    <t>Action 8: A-8- Audit de la gestion financière</t>
  </si>
  <si>
    <t>Sous-Action 8a: A-8-1- Suivi et contrôle</t>
  </si>
  <si>
    <t>Activité 1: Suivi et contrôle de la gestion  financière (rédaction et soumission des rapports financiers, l'audit des passation des marchés, audit financier)</t>
  </si>
  <si>
    <t>Activité 2: contrôle institutionnel de la gestion financière</t>
  </si>
  <si>
    <t>Sous-Action 8b: A-8-2- Soumission des documents</t>
  </si>
  <si>
    <t>Activité 1: Mise en ligne des documents du centre</t>
  </si>
  <si>
    <t>Activité 2: Soumission des plans de passation des marchés pour approbation</t>
  </si>
  <si>
    <t>Sous-Action 9a: A-9-1- Stratégie régionale de l'école</t>
  </si>
  <si>
    <t>Sous-Action 9b: A-9-2- Accréditation internationale</t>
  </si>
  <si>
    <t>Le centre EM_EMIG est accredité</t>
  </si>
  <si>
    <t>Sous-Action 9c: A-9-3- Participation au benchmarking du PASET</t>
  </si>
  <si>
    <t>Sous-Action 9d: A-9-4- Acquisition des équipements d'un laboratoire 
de Génie Electrique (IDL7.5)</t>
  </si>
  <si>
    <t>Passation de marché;
Signature de contrat:
livarson et installation
Réception.</t>
  </si>
  <si>
    <t>Le centre est equipé et securisé energetiquement,</t>
  </si>
  <si>
    <t>Total en Dollars</t>
  </si>
  <si>
    <t>Identification des thématiques de recherche,  planning des travaux de recherches, conduites des activites de recherche pour les 5 doctorants recrutés</t>
  </si>
  <si>
    <t>Préparation et convocation des 
réunions;
adequation formation/profil emploi vérifiée
Agenda et contenu des formations courtes durées actualisés.</t>
  </si>
  <si>
    <t>Activité 1: Réunions du Comité Consultatif Sectoriel</t>
  </si>
  <si>
    <t xml:space="preserve">Mise à jour de la politique de la bourse;
Sélection des candidats et octroi des bourses d'excellence;
Recrutement des etudiants.
</t>
  </si>
  <si>
    <t>Honoraires de prestation de service</t>
  </si>
  <si>
    <t>Dates de mise à jour, production des supports de publicité.</t>
  </si>
  <si>
    <t>Activité 1: Abonnement Internet et bibliothèques numériques</t>
  </si>
  <si>
    <t>Abonnement  2024
Abonnement aux revues</t>
  </si>
  <si>
    <t xml:space="preserve">Des vacataires locaux sont recrutés 
Décisions de vacation sont signées </t>
  </si>
  <si>
    <t>Nombre des mobilités réalisées</t>
  </si>
  <si>
    <t>bons de carburant
Recus de consommation</t>
  </si>
  <si>
    <t>Activité 1: fonctionnement, maintenance et entretien  du materiel roulant</t>
  </si>
  <si>
    <t>Demande d'achat,
Bon de commande,
Signature de contrat,
Etablissement des cartes</t>
  </si>
  <si>
    <t>Présentation facture, Virement bancaire</t>
  </si>
  <si>
    <t>Expression des besoins
Demande d'achat 
Bon de commande
Livraison et reception</t>
  </si>
  <si>
    <t>Activité 1: Auto-évaluation, amélioration continue, accréditation institutionnelle.</t>
  </si>
  <si>
    <t>Vehicules bien entretenus;
missions et sorties de terrain effectuées</t>
  </si>
  <si>
    <t>Somme en dollars</t>
  </si>
  <si>
    <t xml:space="preserve">Encadrement de 100 étudiants
Formation des Jury de soutenance </t>
  </si>
  <si>
    <t>Appel d'offre</t>
  </si>
  <si>
    <t>La sécurité à l'EMIG est améliorée</t>
  </si>
  <si>
    <t>EMIG</t>
  </si>
  <si>
    <t>$4900350</t>
  </si>
  <si>
    <t>RLD</t>
  </si>
  <si>
    <t>Cible</t>
  </si>
  <si>
    <t>Allocation ILD</t>
  </si>
  <si>
    <t>Décaissements Effectués</t>
  </si>
  <si>
    <t>Décaissements Attendus en 2024</t>
  </si>
  <si>
    <t>Total</t>
  </si>
  <si>
    <t>Taux</t>
  </si>
  <si>
    <t xml:space="preserve">Validés en attente de versement </t>
  </si>
  <si>
    <t>Transmis en attente de validation</t>
  </si>
  <si>
    <t>Résultats obtenus en attente de transmission</t>
  </si>
  <si>
    <t>ILD1 Préparation opérationnelle</t>
  </si>
  <si>
    <t>ILD2 Impact sur le développement</t>
  </si>
  <si>
    <t>3.1 Doctorants</t>
  </si>
  <si>
    <t>3.2 Étudiants en master</t>
  </si>
  <si>
    <t>3.3 Etudiants en formation courte durée</t>
  </si>
  <si>
    <t>3.4 Étudiants premier cycle</t>
  </si>
  <si>
    <t>ILD 3 : Quantité d’étudiants</t>
  </si>
  <si>
    <t>4.1 Étapes d'accréditation</t>
  </si>
  <si>
    <t>4.2 Articles de recherche publiés</t>
  </si>
  <si>
    <t>4.3 Jalon des infrastructures d'enseignement et de recherche</t>
  </si>
  <si>
    <t>ILD 4 Qualité Enseignement et recherche</t>
  </si>
  <si>
    <t>5.1 Revenus</t>
  </si>
  <si>
    <t>5.2 Nombre d'étudiants en stages</t>
  </si>
  <si>
    <t>ILD5: Pertinence de l'enseignement</t>
  </si>
  <si>
    <t>6.1 Rapports financiers réguliers</t>
  </si>
  <si>
    <t xml:space="preserve">6.2 Contrôles institutionnels de la gestion financière </t>
  </si>
  <si>
    <t>6.3 Transparence en ligne</t>
  </si>
  <si>
    <t xml:space="preserve">6.4 Qualité de la planification de la passation </t>
  </si>
  <si>
    <t>ILD6 gestion Financière</t>
  </si>
  <si>
    <t>7.1 Stratégie régionale de l'université</t>
  </si>
  <si>
    <t>7.3 Accréditation institutionnelle</t>
  </si>
  <si>
    <t>7.4 Participation au benchmarking du PASET</t>
  </si>
  <si>
    <t>7.5 Jalon sur l’impact institutionnel</t>
  </si>
  <si>
    <t>ILD7 Impact Instittionnel</t>
  </si>
  <si>
    <t xml:space="preserve"> </t>
  </si>
  <si>
    <t>Centre Emergent Mines - Niger</t>
  </si>
  <si>
    <t>Nombre</t>
  </si>
  <si>
    <t>Budget</t>
  </si>
  <si>
    <t xml:space="preserve"> $4,5 million</t>
  </si>
  <si>
    <t>ILD #</t>
  </si>
  <si>
    <t>Base</t>
  </si>
  <si>
    <t>Allocation RLD</t>
  </si>
  <si>
    <t>Protocole de vérification</t>
  </si>
  <si>
    <t>Formule</t>
  </si>
  <si>
    <t>Année</t>
  </si>
  <si>
    <t>ILD 1 : Préparation institutionnelle</t>
  </si>
  <si>
    <r>
      <t xml:space="preserve">Deux résultats : 
(i) </t>
    </r>
    <r>
      <rPr>
        <b/>
        <sz val="8"/>
        <color indexed="8"/>
        <rFont val="Times New Roman"/>
        <family val="1"/>
      </rPr>
      <t xml:space="preserve">Préparation de base </t>
    </r>
    <r>
      <rPr>
        <sz val="8"/>
        <color indexed="8"/>
        <rFont val="Times New Roman"/>
        <family val="1"/>
      </rPr>
      <t xml:space="preserve">: Accord de financement en vigueur ; l’URF a approuvé le plan de mise en œuvre et les manuels de passation des marchés et de gestion financière du centre. Nomination officielle des membres de l’équipe principale (coordonnateur de centre, coordonnateur adjoint de centre, responsable de gestion financière, responsable passation des marchés, responsable suivi et évaluation et de relation sectorielle). Le Centre doit également désigner un représentant des étudiants au sein de l’URF ne faisant pas partie du personnel du centre, et
 (ii) </t>
    </r>
    <r>
      <rPr>
        <b/>
        <sz val="8"/>
        <color indexed="8"/>
        <rFont val="Times New Roman"/>
        <family val="1"/>
      </rPr>
      <t>Préparation totale :</t>
    </r>
    <r>
      <rPr>
        <sz val="8"/>
        <color indexed="8"/>
        <rFont val="Times New Roman"/>
        <family val="1"/>
      </rPr>
      <t xml:space="preserve"> Au moins un membre de la direction du centre doit être titulaire d’un certificat en gestion de projet ; Site Web du centre opérationnel (lien du site du centre disponible) ; Guide de l'étudiant sur le site avec un règlement sur le harcèlement sexuel et les bourses, ainsi que la création d’un Conseil Consultatif Sectoriel (CCS) ayant approuvé le plan de mise en œuvre </t>
    </r>
  </si>
  <si>
    <t>300 000 USD par jalon. Pas proportionnel au sein de chaque jalon.</t>
  </si>
  <si>
    <t xml:space="preserve">ILD 2 :
Impact du Centre CEA sur le développement </t>
  </si>
  <si>
    <t>Évaluation indépendante externe de l'impact sur le développement du centre CEA réalisée au cours de la troisième année et de la fin de la quatrième année. Des évaluateurs externes examineront et noteront l'impact sur le développement du centre. Le score de la 3ème année sera basé sur les progrès réalisés vers l'impact sur le développement et celui de la 4ème année sera basé sur l’impact sur le développement. Les critères d'évaluation comprendront : (i) la pertinence et l'impact des diplômés sur la société, y compris la proportion de diplômés embauchés dans le secteur ciblé et le retour des principaux employeurs ; (ii) la pertinence et l’impact de la recherche sur la société ; (iii) les progrès au niveau des ILD; (iv) les rapports annuels du CCS; et (v) des entretiens avec les diplômés des centres et les acteurs du secteur. Les barèmes d'évaluation détaillés seront définis dans le manuel d’opération régional.</t>
  </si>
  <si>
    <t>Proportionnel selon le score du centre sur une échelle (1 à 5). 25 000 USD par point du score.</t>
  </si>
  <si>
    <t>2.1 Progrès vers l'impact sur le développement</t>
  </si>
  <si>
    <t>2.2 Impact sur le développement</t>
  </si>
  <si>
    <t xml:space="preserve">ILD 3 : Quantité d’étudiants </t>
  </si>
  <si>
    <r>
      <rPr>
        <b/>
        <sz val="8"/>
        <color indexed="8"/>
        <rFont val="Times New Roman"/>
        <family val="1"/>
      </rPr>
      <t>Nombre de nouveaux étudiants en doctorat et master éligibles, et d’étudiants en formation professionnelle de courte durée</t>
    </r>
    <r>
      <rPr>
        <sz val="8"/>
        <color indexed="8"/>
        <rFont val="Times New Roman"/>
        <family val="1"/>
      </rPr>
      <t>, avec au moins 30% d’étudiants régionaux. Pour les établissements bénéficiant de l’appui aux institutions d’ingénierie et les centres émergents, les étudiants de premier cycle dans des cours CEA Impact sont également éligibles. Le manuel d’opérations régional et le plan de mise en œuvre approuvé définiront les critères d’un étudiant éligible pour chaque CEA.</t>
    </r>
  </si>
  <si>
    <t>Mesurer par étudiant. Le nombre d’étudiants par type est à titre indicatif dans ce tableau pour préparation. A moins qu’il n’en soit convenu autrement dans le manuel d’opération régional, le centre peut réaliser ces ILD sous n'importe quelle combinaison de types d'étudiants (à l'exception des 30% d’étudiants régionaux).
Pour les doctorants : 10 000 USD par étudiant national, 12 500 USD par étudiante nationale, 12 500 par étudiant national, et 15 600 par étudiante regionale. 
Pour les étudiants en Master : 2 000 par étudiant national, 2 500 par étudiante, 4 000 par étudiant régional et 5 000 par étudiante régionale. 
Pour les étudiants en formation professionnelle de courte durée: 400 par étudiant national, 500 par étudiante nationale, 800 par étudiant régional et 1 000 par étudiante régionale.
Pour les étudiants en premier cycle: 1 000 par étudiant national, 1 500 par étudiante nationale</t>
  </si>
  <si>
    <t>3.3 Étudiants en formation professionnelle de courte durée</t>
  </si>
  <si>
    <t>3.4 Étudiants de premier cycle</t>
  </si>
  <si>
    <t xml:space="preserve">ILD 4 : 
Qualité de l’enseignement et de la recherche  </t>
  </si>
  <si>
    <r>
      <t xml:space="preserve">Il y a trois résultats :
(i) </t>
    </r>
    <r>
      <rPr>
        <b/>
        <sz val="8"/>
        <color indexed="8"/>
        <rFont val="Times New Roman"/>
        <family val="1"/>
      </rPr>
      <t>Accréditation internationale</t>
    </r>
    <r>
      <rPr>
        <sz val="8"/>
        <color indexed="8"/>
        <rFont val="Times New Roman"/>
        <family val="1"/>
      </rPr>
      <t xml:space="preserve">. Le décaissement a lieu lorsqu'une étape d'accréditation ou d'évaluation a été vérifiée par la soumission du rapport d'accréditation / d'évaluation et/ou de certificat à l'URF ;
(ii) </t>
    </r>
    <r>
      <rPr>
        <b/>
        <sz val="8"/>
        <color indexed="8"/>
        <rFont val="Times New Roman"/>
        <family val="1"/>
      </rPr>
      <t>Articles de recherche pertinents</t>
    </r>
    <r>
      <rPr>
        <sz val="8"/>
        <color indexed="8"/>
        <rFont val="Times New Roman"/>
        <family val="1"/>
      </rPr>
      <t xml:space="preserve"> pour le CEA sont publiés dans des revues à comité de lecture internationalement reconnues. La vérification s'effectue au moyen de bases de données bibliométriques internationales. 
(iii) </t>
    </r>
    <r>
      <rPr>
        <b/>
        <sz val="8"/>
        <color indexed="8"/>
        <rFont val="Times New Roman"/>
        <family val="1"/>
      </rPr>
      <t>Réalisation des jalons pour l'amélioration des infrastructures</t>
    </r>
    <r>
      <rPr>
        <sz val="8"/>
        <color indexed="8"/>
        <rFont val="Times New Roman"/>
        <family val="1"/>
      </rPr>
      <t xml:space="preserve"> d'enseignement et de recherche spécifiée dans le plan de mise en œuvre approuvé de chaque centre. Ce résultat sera, dans la majorité des cas, vérifié par une évaluation sur site des installations et de la mise en service des travaux de génie civil et de l’amélioration d'équipements.</t>
    </r>
  </si>
  <si>
    <t>Pour l'accréditation : Pas proportionnel au sein de chaque étape d'accréditation. Montant par étape : 300 000 USD par programme internationalement accrédité par un organisme d'accréditation préapprouvé ; 100 000 USD par programme accrédité aux niveaux national et régional ; 100 000 USD par évaluation des lacunes / auto-évaluation réalisées ; 50 000 USD par cours réorganisé/nouveaux conformes aux normes internationales et approuvés par le conseil consultatif sectoriel.
Pour les publications de recherche : Mesurer par article. Montants : 10 000 USD par article co-rédigé par un étudiant/enseignant du CEA Impact et des partenaires nationaux ; 15 000 USD par article rédigé en collaboration avec des partenaires régionaux. 
Pour les infrastructures d'enseignement et de recherche, le résultat n'est pas proportionnel au sein d’un jalon. 300 000 USD par jalon.</t>
  </si>
  <si>
    <t xml:space="preserve">ILD 5 :
Pertinence de l’enseignement et de la recherche </t>
  </si>
  <si>
    <r>
      <t xml:space="preserve">Trois résultats peuvent être atteints : 
(i) </t>
    </r>
    <r>
      <rPr>
        <b/>
        <sz val="8"/>
        <color indexed="8"/>
        <rFont val="Times New Roman"/>
        <family val="1"/>
      </rPr>
      <t>Revenus externes générés</t>
    </r>
    <r>
      <rPr>
        <sz val="8"/>
        <color indexed="8"/>
        <rFont val="Times New Roman"/>
        <family val="1"/>
      </rPr>
      <t xml:space="preserve">, tels que les frais de scolarité et autres frais d’étudiant, les consultances en recherche, les collectes de fonds et les subventions concurrentielles obtenues par le Centre. Le financement doit être versé sur un compte contrôler par la direction du centre pour les dépenses. Cela devra être vérifié par des auditeurs financiers.
(ii) </t>
    </r>
    <r>
      <rPr>
        <b/>
        <sz val="8"/>
        <color indexed="8"/>
        <rFont val="Times New Roman"/>
        <family val="1"/>
      </rPr>
      <t xml:space="preserve">Nombre d'étudiants et d'enseignants </t>
    </r>
    <r>
      <rPr>
        <sz val="8"/>
        <color indexed="8"/>
        <rFont val="Times New Roman"/>
        <family val="1"/>
      </rPr>
      <t xml:space="preserve">ayant effectué un stage d'au moins un mois dans des institutions pertinentes du secteur. Le vérificateur valide la liste des étudiants/professeurs ayant participé à des stages/activités de formation d'au moins un mois dans des institutions pertinentes du secteur, et
(iii) </t>
    </r>
    <r>
      <rPr>
        <b/>
        <sz val="8"/>
        <color indexed="8"/>
        <rFont val="Times New Roman"/>
        <family val="1"/>
      </rPr>
      <t>Atteindre le jalon pour le développement de l’entreprenariat,</t>
    </r>
    <r>
      <rPr>
        <sz val="8"/>
        <color indexed="8"/>
        <rFont val="Times New Roman"/>
        <family val="1"/>
      </rPr>
      <t xml:space="preserve"> de l’innovation, d’entreprises start-ups et des programmes d’aide à la commercialisation. Chaque plan de mise en œuvre des centres approuvé contiendra une étape clé en termes de résultats et d’activités visant à développer l’esprit d’entreprise des étudiants et des professeurs.</t>
    </r>
  </si>
  <si>
    <t>Pour les revenus externes, 1 USD pour chaque 1 USD généré par des sources nationales (pas privées) ou internationales ; 2 USD pour chaque 1 USD provenant de sources régionales ou privées ;
Pour les stages, 1 000 USD par période dans le pays et  1 500 USD par période dans la région
100 000 USD pour le jalon sur l’esprit d’entreprise. Pas proportionnel.</t>
  </si>
  <si>
    <t>5.2 Stages</t>
  </si>
  <si>
    <t>5.3 Jalons de l'entreprenariat</t>
  </si>
  <si>
    <t>ILD 6 : Gestion financière régulière et de qualité</t>
  </si>
  <si>
    <r>
      <rPr>
        <b/>
        <sz val="8"/>
        <color indexed="8"/>
        <rFont val="Times New Roman"/>
        <family val="1"/>
      </rPr>
      <t xml:space="preserve">Les rapports financiers réguliers </t>
    </r>
    <r>
      <rPr>
        <sz val="8"/>
        <color indexed="8"/>
        <rFont val="Times New Roman"/>
        <family val="1"/>
      </rPr>
      <t xml:space="preserve">comprennent les soumissions dans les délais des rapports de suivi financiers, les audits financiers et de passation des marchés du centre ; La ponctualité implique le respect des délais fixés dans l’accord de financement. L’audit de passation des marchés de l’année est dû en même temps que l’audit financier.
</t>
    </r>
    <r>
      <rPr>
        <b/>
        <sz val="8"/>
        <color indexed="8"/>
        <rFont val="Times New Roman"/>
        <family val="1"/>
      </rPr>
      <t>Contrôle institutionnel de la gestion financière</t>
    </r>
    <r>
      <rPr>
        <sz val="8"/>
        <color indexed="8"/>
        <rFont val="Times New Roman"/>
        <family val="1"/>
      </rPr>
      <t xml:space="preserve">. Unité d’audit interne et comité d’audit opérationnels (sous le conseil d’administration de l’université) ;
</t>
    </r>
    <r>
      <rPr>
        <b/>
        <sz val="8"/>
        <color indexed="8"/>
        <rFont val="Times New Roman"/>
        <family val="1"/>
      </rPr>
      <t>Transparence en ligne des dépenses du CEA</t>
    </r>
    <r>
      <rPr>
        <sz val="8"/>
        <color indexed="8"/>
        <rFont val="Times New Roman"/>
        <family val="1"/>
      </rPr>
      <t xml:space="preserve">, notamment le budget approuvé, le plan de travail annuel, les RSF avec une annexe sur les dépenses détaillées, les rapports d’audit financiers et de passation des marchés du projet sont accessibles sur les sites Web du centre.
</t>
    </r>
    <r>
      <rPr>
        <b/>
        <sz val="8"/>
        <color indexed="8"/>
        <rFont val="Times New Roman"/>
        <family val="1"/>
      </rPr>
      <t>Qualité de la planification de la passation des marchés</t>
    </r>
    <r>
      <rPr>
        <sz val="8"/>
        <color indexed="8"/>
        <rFont val="Times New Roman"/>
        <family val="1"/>
      </rPr>
      <t>. La proportion du plan de passation de marchés initialement approuvé ayant été exécutée. Cette proportion est calculée en termes de valeur des contrats (et non des activités de passation de marchés).</t>
    </r>
  </si>
  <si>
    <t>Proportionnel au sein de chaque résultat. Par exemple, un décaissement pourrait être effectué pour les rapports qui auront été soumis dans les délais, même si d’autres rapports auront été soumis en retard.
15 000 USD pour des rapports financiers réguliers
15 000 USD pour le contrôle institutionnel de la gestion financière
15 000 USD pour la transparence en ligne sur les dépenses du CEA
15 000 USD pour la qualité de la planification de la passation des marchés</t>
  </si>
  <si>
    <t>ILD 7 :
Impact institutionnel</t>
  </si>
  <si>
    <t>Institution hôte CEA Impact :
(i) approuve une stratégie régionale pertinente au niveau de l'université.
(ii) procède à une sélection concurrentielle ouverte et basée sur le mérite du président de l'université et/ou des directeurs de département en rapport avec le CEA. 
(iii) entreprend une accréditation internationale au niveau institutionnel ou une auto-évaluation basée sur une méthodologie établie.
(iv) participe à l'initiative de Benchmarking régionale PASET et soumet des données sur des indicateurs requis avec un plan d'intervention pour améliorer les performances. L'agence d'accréditation et la méthodologie utilisées doivent être acceptables par la Banque mondiale et l'URF.
(v) Atteindre les étapes clés pour promouvoir l'impact institutionnel. Chaque plan de mise en œuvre du centre approuvé contient un ou plusieurs jalons pour des résultats et des activités visant à améliorer l'impact institutionnel.</t>
  </si>
  <si>
    <t>Pas proportionnel. 
Stratégie régionale de l'université : 
100 000 USD
Sélection concurrentielle ouverte et basée sur le mérite du président de l'institution : 200 000 USD et 50 000 USD pour une sélection concurrentielle ouverte et basée sur le mérite d'un doyen ;
200 000 USD pour une accréditation internationale ; évaluation des lacunes et l'auto-évaluation 75 000 USD chacune.
USD 50 000 pour chaque année ou l'université participe (jusqu'à deux ans)
USD 200 000 par jalon sur l’impact institutionnel</t>
  </si>
  <si>
    <t>7.2 Sélection compétitive</t>
  </si>
  <si>
    <t>Financement renouvelé total</t>
  </si>
  <si>
    <t>Sous-Action 7a :  A-7-1- Recrutement et Rémuneration des agents d’appui au centre et d’un cabinet d’audit externe</t>
  </si>
  <si>
    <t>le seminaire est organisé et activité de sensibilisation des étudiants, personnel, enseignants, manœuvres</t>
  </si>
  <si>
    <t>Planning des travaux de recherches, conduites des activites de recherche</t>
  </si>
  <si>
    <t>Equipes de recherche habiletées</t>
  </si>
  <si>
    <t>Activité 2 : Formation Ouverte à Distance (FOAD) : Formation et Développement du Contenu</t>
  </si>
  <si>
    <t>Activité 3 : Formation Ouverte à Distance (FOAD) : Formation du Personnel</t>
  </si>
  <si>
    <t>Activité 4 : Formation Ouverte à Distance (FOAD) : Acquisition ou l'abonnement à une plateforme de FOAD.</t>
  </si>
  <si>
    <t xml:space="preserve"> Activité 6 : Formation Ouverte à Distance (FOAD) : Production de matériel de sensibilisation pour informer les étudiants sur le programme de FOAD</t>
  </si>
  <si>
    <t>Salaire pour une équipe de 2 personnes impliquées dans la conception et le développement du contenu des cours, à temps plein</t>
  </si>
  <si>
    <t>sessions de formation du personnel enseignant et administratif.</t>
  </si>
  <si>
    <t>TDR pour consultation des fournisseur</t>
  </si>
  <si>
    <t>le contenu de la formation est developpé</t>
  </si>
  <si>
    <t>le personnel est formé</t>
  </si>
  <si>
    <t>les ordinanteurs sont mis à niveau</t>
  </si>
  <si>
    <t xml:space="preserve">les étudiants sont sensibilisés </t>
  </si>
  <si>
    <t>le support de formation est disponible</t>
  </si>
  <si>
    <t>le support de formation est distribué</t>
  </si>
  <si>
    <t>l'abonnement à la plateforme est fait</t>
  </si>
  <si>
    <t>les factures sont disponible</t>
  </si>
  <si>
    <t>facture de prestation est disponible</t>
  </si>
  <si>
    <t>les support de sensibilisation sont publiés</t>
  </si>
  <si>
    <t>Activité 1 : Recherche Appliquée : Amelioration des procedés de transformation des produits alimentaires avec le rouleau agglomérateur</t>
  </si>
  <si>
    <t>le fonctionnement du centre est assuré</t>
  </si>
  <si>
    <t>le carburant et crédit de communication sont assurés</t>
  </si>
  <si>
    <t xml:space="preserve">Virement </t>
  </si>
  <si>
    <t>Sous-Action 9d: A-9-5- Mise en place d'un système d'alimentation solaire (IDL7.5)</t>
  </si>
  <si>
    <t>le portail principal est construit</t>
  </si>
  <si>
    <t>Activité 5 : Formation Ouverte à Distance (FOAD) : Séminaire de mise à niveau du personnel gérant le projet.</t>
  </si>
  <si>
    <t>Elaboration d'un TDR pour le lancement du processus de recrutement d'un fournisseur</t>
  </si>
  <si>
    <t xml:space="preserve">le centre est equipé en champ solaire </t>
  </si>
  <si>
    <t>Le mobilier scolaire et de bureau est acquis</t>
  </si>
  <si>
    <t>Disponibilité du mobilier scolaire et de bureau</t>
  </si>
  <si>
    <t>Elaboration d'un TDR, Passation de marché;
Signature du contrat;
Lancement et Exécution  des travaux</t>
  </si>
  <si>
    <t>Lancement</t>
  </si>
  <si>
    <t>Les salles de cours sont équipés en tables bancs fixes</t>
  </si>
  <si>
    <t>les salles équipés sont disponibles pour les cours</t>
  </si>
  <si>
    <t>les départements sont dotés d'un système solaire photovoltaique</t>
  </si>
  <si>
    <t>les bâtiments des départements sont équipés</t>
  </si>
  <si>
    <t>le circuit électrique de la halle est repris</t>
  </si>
  <si>
    <t>la halle est fonctionnelle</t>
  </si>
  <si>
    <t>Elaboration d'un TDR, Passation de marché.</t>
  </si>
  <si>
    <t>les materiels informatiques sont acquis</t>
  </si>
  <si>
    <t>les materiels informatiques sont disponibles</t>
  </si>
  <si>
    <t>Signature du contrat</t>
  </si>
  <si>
    <t>Veuille normative, connaissance du référentiel de la QAA, Elaboration des procédures, réunions visioconference avec QAA, Accueil experts QAA
Auto-évaluation pour accréditation institutionnelle.</t>
  </si>
  <si>
    <t>Résultats attendus en 2025</t>
  </si>
  <si>
    <t>Total attendu en 2025</t>
  </si>
  <si>
    <t xml:space="preserve">82 licences et 64 masters reçoivent les appuis de subsistance
</t>
  </si>
  <si>
    <t>admis à l'issu du concours organisé par l'EMIG et admis sur titre</t>
  </si>
  <si>
    <t>5 doctorants recrutés (frais de laboratoire, atelier, seminaires, mission de collecte de données, bourses)</t>
  </si>
  <si>
    <t xml:space="preserve"> 5 doctorants sont pris en charge (frais de labo, atelier, seminaire, mission de collecte de données)</t>
  </si>
  <si>
    <t>Identification et expression des besoins
de vacation
Décision de recrutement
 Nombre total d'heures: 3000h soit 60 000$</t>
  </si>
  <si>
    <t xml:space="preserve">Vacataires locaux recrutés
</t>
  </si>
  <si>
    <t xml:space="preserve">Soutenances mémoiresde 48 licences et 78 master </t>
  </si>
  <si>
    <t xml:space="preserve">Identification des laboratoires d'accueil, invitation des universités, accord avec le réseau des partenaires pour 5 doctorants
</t>
  </si>
  <si>
    <t>Activités 1: Assistance sur logiciel Tom2pro</t>
  </si>
  <si>
    <t>Activité 2: Recrutement et Rémunération du cabinet d’audit externe 2024.</t>
  </si>
  <si>
    <t>Activité 3: Recrutement et Rémunération du cabinet d’audit externe 2025.</t>
  </si>
  <si>
    <t>le rapport est élaboré</t>
  </si>
  <si>
    <t>rapport disponible</t>
  </si>
  <si>
    <t xml:space="preserve">Activités 2: Formation de 2 enseignants en gestion environnementale dans le secteur minier </t>
  </si>
  <si>
    <t>2 enseignants seront formés en gestion environnementale</t>
  </si>
  <si>
    <t>2 enseignants sont formés</t>
  </si>
  <si>
    <t>les attestations disponibles</t>
  </si>
  <si>
    <t xml:space="preserve">Activités 3 : Renforcement des capacités du gestionnaire des ressources humaines  </t>
  </si>
  <si>
    <t>les capacités du gestionnaire des ressources humaines seront renforcées</t>
  </si>
  <si>
    <t>le gestionnaire de ressources humaines est est formé</t>
  </si>
  <si>
    <t>l'attestation disponible</t>
  </si>
  <si>
    <t>Ressource disponible dans le compte dedié</t>
  </si>
  <si>
    <t>Ressources Totales</t>
  </si>
  <si>
    <t>PTBA DU 1er JANVIER AU 30 JUIN 2025</t>
  </si>
  <si>
    <t>les congés dûs aux consultants à fin du projet et qui ne sont pas épuisés des consultants seront payées pour solde de tout compte</t>
  </si>
  <si>
    <t>les congés non jouis sont payés</t>
  </si>
  <si>
    <t>facture</t>
  </si>
  <si>
    <t xml:space="preserve">
les reunions, collectes des données et redaction du rapport </t>
  </si>
  <si>
    <t>2025 Y5Q4</t>
  </si>
  <si>
    <t>2025 Y5Q3</t>
  </si>
  <si>
    <t>2025 Y5Q2</t>
  </si>
  <si>
    <t>2025 Y5Q1</t>
  </si>
  <si>
    <t>Activité 3: Participation des membres de l’équipe à l'atelier de clôture CEA régional</t>
  </si>
  <si>
    <t>Activité 1 : Rémunération du communicateur-Webmaster</t>
  </si>
  <si>
    <t>Activité 3 : Prise en charge des doctorants</t>
  </si>
  <si>
    <t>Activité 3 :  Transport des étudiants de leur lieu de stage, soutenance des projets industriels et mémoires</t>
  </si>
  <si>
    <t>Activité 2 : Mise en œuvre de la Recherche</t>
  </si>
  <si>
    <t>Activité 3 : Mobilité: renforcement des capacités, recherche et innovation (doctoriale)</t>
  </si>
  <si>
    <t>Activité 5 : Acquisition et installation d’un système solaire photovoltaïque et étanchéité des toitures (4 bâtiments des départements)</t>
  </si>
  <si>
    <t>Activité 7 : Acquisition de matériels informatiques</t>
  </si>
  <si>
    <t>Activité 8 : Fourniture et pose de tables bancs fixes pour 4 salles de cours</t>
  </si>
  <si>
    <t>Activité 9: Reprise du circuit électrique de la halle de traitement des minerais</t>
  </si>
  <si>
    <t>Activité 10: Acquisition de mobilier scolaire et de Bureau</t>
  </si>
  <si>
    <t>Activité 11 : Travaux d'amenagement du portail principal avec l'inscription Centre d'Excellence Environnement Minier</t>
  </si>
  <si>
    <t xml:space="preserve">Activité 12 : Installation d'un système de vidéo-surveillance </t>
  </si>
  <si>
    <t>Activité 1 : Mise en œuvre du PGES</t>
  </si>
  <si>
    <t>Activité 2 : Seminaire sur la violence basée sur le genre et lutte contre harcèlement sexuel</t>
  </si>
  <si>
    <t>Activité 4 : Rémunération de l'agent de suivi évaluation</t>
  </si>
  <si>
    <t>Activité 5 : Rémunération de l'auditeur /contrôle  interne</t>
  </si>
  <si>
    <t>Activité 6: Rénumeration d'un Chef de Projet</t>
  </si>
  <si>
    <t>Activité 10: Dépenses de fonctionnement du Centre</t>
  </si>
  <si>
    <t xml:space="preserve">Activité 11 : Dépenses rapport d'achevement </t>
  </si>
  <si>
    <t>Activité 10 : Carburant et crédit de communication pour les membres de l'équipe de gestion du Centre</t>
  </si>
  <si>
    <t>Activité 1 :Acquisition (achat et installation) du materiel du système d'installation solaire étanchéité des toitures (bâtiment administratif)</t>
  </si>
  <si>
    <t xml:space="preserve">Activité 4 : Frais de formation master </t>
  </si>
  <si>
    <t>Six (6) membres de l'équipe CEA_EM-EMIG ont participé à la reunion regionale;
Experiences capitalisés;
Sessions parallèles avec formations aux nouveaux outils;
Mises à jours des IDLs du projet;
Appropriation par les Centres des directives et Orientation de l'AUA et de la BM</t>
  </si>
  <si>
    <t>Activité 1: Prise en charge des étudiants (appui, visite industrielle et location) et transport étudiants régionaux en fin de cycle</t>
  </si>
  <si>
    <t xml:space="preserve">Activité 8 : Congés non jouis des consultants recrutés </t>
  </si>
  <si>
    <t>Activité 3 : Audit PGES</t>
  </si>
  <si>
    <t>Audit PGES de l'EMIG</t>
  </si>
  <si>
    <t>Activité 1.1.  Formation des enseignents et de doctorants à la méthodologie de la recherche</t>
  </si>
  <si>
    <t>5 Enseignents + 5 Doctorants de l'EMIG</t>
  </si>
  <si>
    <t>Tdr de formation,
Mise en œuvre de la formation au bénéfice de 5 doctorants+ 5 enseignants</t>
  </si>
  <si>
    <t xml:space="preserve">  Activité 1: Acquisition et Installation des équipements pédagogiques et de recherche (équipements lourds de laboratoire) </t>
  </si>
  <si>
    <t>Etat de la caisse</t>
  </si>
  <si>
    <t>Formation en éthique et déonthologie pour le personnel (enseignants et administratifs)</t>
  </si>
  <si>
    <t>Atelier de capitalisation et de reflexion sur le projet</t>
  </si>
  <si>
    <t>Tdr de formation,
Mise en œuvre de la formation au bénéfice de enseignants et personnel administratif</t>
  </si>
  <si>
    <t>Une formation en éthique et déontologie sera organisé</t>
  </si>
  <si>
    <t>les missions seront faites pour l'élaboration du plan de durabilité</t>
  </si>
  <si>
    <t>Un stage de perfectionnement sera effectué au profit des agents de labo dans le cadre de la durabilité</t>
  </si>
  <si>
    <t>TDR pour la mise en œuvre de la mission</t>
  </si>
  <si>
    <t>Un atelier de capitalisation sur les activités du projet sera organisé</t>
  </si>
  <si>
    <t>TDR pour l'atelier élaboré et les bonnes pratiques identifiées</t>
  </si>
  <si>
    <t xml:space="preserve">Mission d'élaboration d'un plan de durabilité pour le centre </t>
  </si>
  <si>
    <t>Stage de perfectionnement labo pour une meilleure prise en charge des équipements du Labo environnement pour une generation des ressources dans le cadre de la durabilité</t>
  </si>
  <si>
    <t>Activité 2: Réunion de sensibilisation du comité d’attribution de bourses</t>
  </si>
  <si>
    <t>Identification et expression des besoins
de vacation
Convention de mobilité
Nombre total d'heures: 120h soit 17 000$.</t>
  </si>
  <si>
    <t xml:space="preserve">2 Vacataires régionaux et ou internationaux sont recrutés
</t>
  </si>
  <si>
    <t xml:space="preserve">Des vacataires régionaux et ou internationaux sont recrutés 
Décisions de vacation sont signées </t>
  </si>
  <si>
    <t xml:space="preserve">Activité 1 : Recrutement des vacataires nationaux </t>
  </si>
  <si>
    <t xml:space="preserve">Activité 2 :  Recrutement des 2 vacataires régionaux </t>
  </si>
  <si>
    <t>Renforcement de capacité en Système d'Information Géographique (SIG) pour 2 enseignants dans le cadre de la durabilité</t>
  </si>
  <si>
    <t>Suivi et consolidation de partenaritas du centre dans le cadre de la durabilité et du développement du partenariat (collaboration avec l'école de mine de Rabat, Réseau mine durable)</t>
  </si>
  <si>
    <t>2 enseignants de departement géosciences vont etre formés</t>
  </si>
  <si>
    <t xml:space="preserve">Mise en œuvre de la formation au bénéfice de 5 doctorants+ 5 </t>
  </si>
  <si>
    <t>Tdr de formation, mise en œuvre de la formation</t>
  </si>
  <si>
    <t xml:space="preserve">TDR pour la mise en œuvre </t>
  </si>
  <si>
    <t xml:space="preserve"> Visibilité des ressources du centre  (communication, journée CEA, inauguration nouveau laboratoire environnemnt minier)</t>
  </si>
  <si>
    <t>phase preparatoire des activités prevues (publi-reportage, affiche, gadget)</t>
  </si>
  <si>
    <t xml:space="preserve">Phase preparatoire des activités prevues </t>
  </si>
  <si>
    <t>TDR de mise en 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</si>
</sst>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Red]#,##0"/>
    <numFmt numFmtId="166" formatCode="0\ 000\ 000"/>
    <numFmt numFmtId="167" formatCode="0\ 000"/>
    <numFmt numFmtId="168" formatCode="_-* #,##0_-;\-* #,##0_-;_-* &quot;-&quot;??_-;_-@_-"/>
  </numFmts>
  <fonts count="33" x14ac:knownFonts="1">
    <font>
      <sz val="11"/>
      <color theme="1"/>
      <name val="Calibri"/>
      <family val="2"/>
      <scheme val="minor"/>
    </font>
    <font>
      <sz val="12"/>
      <color rgb="FF000000"/>
      <name val="Times New Roman"/>
      <family val="1"/>
    </font>
    <font>
      <b/>
      <sz val="12"/>
      <color rgb="FF000000"/>
      <name val="Times New Roman"/>
      <family val="1"/>
    </font>
    <font>
      <b/>
      <sz val="12"/>
      <color theme="1"/>
      <name val="Times New Roman"/>
      <family val="1"/>
    </font>
    <font>
      <b/>
      <i/>
      <sz val="12"/>
      <color theme="1"/>
      <name val="Times New Roman"/>
      <family val="1"/>
    </font>
    <font>
      <sz val="12"/>
      <name val="Times New Roman"/>
      <family val="1"/>
    </font>
    <font>
      <sz val="12"/>
      <color theme="1"/>
      <name val="Times New Roman"/>
      <family val="1"/>
    </font>
    <font>
      <sz val="12"/>
      <color rgb="FF0070C0"/>
      <name val="Times New Roman"/>
      <family val="1"/>
    </font>
    <font>
      <b/>
      <i/>
      <sz val="12"/>
      <name val="Times New Roman"/>
      <family val="1"/>
    </font>
    <font>
      <sz val="11"/>
      <color rgb="FF000000"/>
      <name val="Calibri"/>
      <family val="2"/>
      <scheme val="minor"/>
    </font>
    <font>
      <sz val="11"/>
      <name val="Calibri"/>
      <family val="2"/>
      <scheme val="minor"/>
    </font>
    <font>
      <b/>
      <sz val="11"/>
      <color theme="1"/>
      <name val="Calibri"/>
      <family val="2"/>
      <scheme val="minor"/>
    </font>
    <font>
      <b/>
      <sz val="12"/>
      <name val="Times New Roman"/>
      <family val="1"/>
    </font>
    <font>
      <b/>
      <sz val="16"/>
      <color rgb="FFFF0000"/>
      <name val="Calibri"/>
      <family val="2"/>
      <scheme val="minor"/>
    </font>
    <font>
      <b/>
      <sz val="16"/>
      <color rgb="FFFF0000"/>
      <name val="Times New Roman"/>
      <family val="1"/>
    </font>
    <font>
      <sz val="11"/>
      <color rgb="FFFF0000"/>
      <name val="Calibri"/>
      <family val="2"/>
      <scheme val="minor"/>
    </font>
    <font>
      <b/>
      <sz val="20"/>
      <color rgb="FFFF0000"/>
      <name val="Calibri"/>
      <family val="2"/>
      <scheme val="minor"/>
    </font>
    <font>
      <sz val="11"/>
      <color theme="1"/>
      <name val="Calibri"/>
      <family val="2"/>
      <scheme val="minor"/>
    </font>
    <font>
      <sz val="11"/>
      <color theme="1"/>
      <name val="Times New Roman"/>
      <family val="1"/>
    </font>
    <font>
      <b/>
      <sz val="8"/>
      <color theme="1"/>
      <name val="Times New Roman"/>
      <family val="1"/>
    </font>
    <font>
      <sz val="8"/>
      <color theme="1"/>
      <name val="Times New Roman"/>
      <family val="1"/>
    </font>
    <font>
      <sz val="8"/>
      <name val="Times New Roman"/>
      <family val="1"/>
    </font>
    <font>
      <sz val="11"/>
      <color rgb="FF00B050"/>
      <name val="Calibri"/>
      <family val="2"/>
      <scheme val="minor"/>
    </font>
    <font>
      <sz val="8"/>
      <color rgb="FF000000"/>
      <name val="Times New Roman"/>
      <family val="1"/>
    </font>
    <font>
      <b/>
      <sz val="8"/>
      <color indexed="8"/>
      <name val="Times New Roman"/>
      <family val="1"/>
    </font>
    <font>
      <sz val="8"/>
      <color indexed="8"/>
      <name val="Times New Roman"/>
      <family val="1"/>
    </font>
    <font>
      <sz val="8"/>
      <color rgb="FFFF0000"/>
      <name val="Times New Roman"/>
      <family val="1"/>
    </font>
    <font>
      <b/>
      <i/>
      <sz val="8"/>
      <color theme="1"/>
      <name val="Times New Roman"/>
      <family val="1"/>
    </font>
    <font>
      <b/>
      <sz val="16"/>
      <color theme="1"/>
      <name val="Calibri"/>
      <family val="2"/>
      <scheme val="minor"/>
    </font>
    <font>
      <b/>
      <sz val="18"/>
      <color rgb="FF000000"/>
      <name val="Calibri"/>
      <family val="2"/>
      <scheme val="minor"/>
    </font>
    <font>
      <b/>
      <sz val="12"/>
      <name val="Tw Cen MT"/>
      <family val="2"/>
    </font>
    <font>
      <b/>
      <sz val="12"/>
      <color rgb="FF000000"/>
      <name val="Calibri"/>
      <family val="2"/>
      <scheme val="minor"/>
    </font>
    <font>
      <b/>
      <sz val="18"/>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rgb="FF0070C0"/>
        <bgColor rgb="FF000000"/>
      </patternFill>
    </fill>
    <fill>
      <patternFill patternType="solid">
        <fgColor rgb="FF009FDA"/>
        <bgColor rgb="FF000000"/>
      </patternFill>
    </fill>
    <fill>
      <patternFill patternType="solid">
        <fgColor rgb="FFD6DCE4"/>
        <bgColor rgb="FF000000"/>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9FDA"/>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3">
    <xf numFmtId="0" fontId="0" fillId="0" borderId="0"/>
    <xf numFmtId="43" fontId="17" fillId="0" borderId="0" applyFont="0" applyFill="0" applyBorder="0" applyAlignment="0" applyProtection="0"/>
    <xf numFmtId="9" fontId="17" fillId="0" borderId="0" applyFont="0" applyFill="0" applyBorder="0" applyAlignment="0" applyProtection="0"/>
  </cellStyleXfs>
  <cellXfs count="295">
    <xf numFmtId="0" fontId="0" fillId="0" borderId="0" xfId="0"/>
    <xf numFmtId="0" fontId="5" fillId="0" borderId="1" xfId="0" applyFont="1" applyBorder="1" applyAlignment="1">
      <alignment vertical="top" wrapText="1"/>
    </xf>
    <xf numFmtId="0" fontId="6" fillId="0" borderId="1" xfId="0" applyFont="1" applyBorder="1" applyAlignment="1">
      <alignment vertical="top" wrapText="1"/>
    </xf>
    <xf numFmtId="0" fontId="5" fillId="0" borderId="3" xfId="0" applyFont="1" applyBorder="1" applyAlignment="1">
      <alignment vertical="top" wrapText="1"/>
    </xf>
    <xf numFmtId="0" fontId="6" fillId="0" borderId="1"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6" fillId="0" borderId="5" xfId="0" applyFont="1" applyBorder="1" applyAlignment="1">
      <alignment horizontal="left" vertical="top" wrapText="1"/>
    </xf>
    <xf numFmtId="0" fontId="6" fillId="12" borderId="1" xfId="0" applyFont="1" applyFill="1" applyBorder="1" applyAlignment="1">
      <alignment vertical="top" wrapText="1"/>
    </xf>
    <xf numFmtId="0" fontId="0" fillId="0" borderId="0" xfId="0" applyAlignment="1">
      <alignment wrapText="1"/>
    </xf>
    <xf numFmtId="0" fontId="5" fillId="9" borderId="1" xfId="0" applyFont="1" applyFill="1" applyBorder="1" applyAlignment="1">
      <alignment vertical="top" wrapText="1"/>
    </xf>
    <xf numFmtId="0" fontId="6" fillId="9" borderId="1" xfId="0" applyFont="1" applyFill="1" applyBorder="1" applyAlignment="1">
      <alignment vertical="top" wrapText="1"/>
    </xf>
    <xf numFmtId="0" fontId="5" fillId="9" borderId="4" xfId="0" applyFont="1" applyFill="1" applyBorder="1" applyAlignment="1">
      <alignment vertical="top" wrapText="1"/>
    </xf>
    <xf numFmtId="0" fontId="5" fillId="0" borderId="1" xfId="0" applyFont="1" applyBorder="1" applyAlignment="1">
      <alignment horizontal="righ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4" fillId="11" borderId="4" xfId="0" applyFont="1" applyFill="1" applyBorder="1" applyAlignment="1">
      <alignment horizontal="left" vertical="top" wrapText="1"/>
    </xf>
    <xf numFmtId="0" fontId="4" fillId="0" borderId="4" xfId="0" applyFont="1" applyBorder="1" applyAlignment="1">
      <alignment horizontal="left" vertical="top" wrapText="1"/>
    </xf>
    <xf numFmtId="0" fontId="5" fillId="0" borderId="4" xfId="0" applyFont="1" applyBorder="1" applyAlignment="1">
      <alignment horizontal="right" vertical="top" wrapText="1"/>
    </xf>
    <xf numFmtId="0" fontId="6" fillId="9" borderId="4" xfId="0" applyFont="1" applyFill="1" applyBorder="1" applyAlignment="1">
      <alignment vertical="top" wrapText="1"/>
    </xf>
    <xf numFmtId="0" fontId="4" fillId="11" borderId="1" xfId="0" applyFont="1" applyFill="1" applyBorder="1" applyAlignment="1">
      <alignment horizontal="left" vertical="top" wrapText="1"/>
    </xf>
    <xf numFmtId="0" fontId="6" fillId="9" borderId="3" xfId="0" applyFont="1" applyFill="1" applyBorder="1" applyAlignment="1">
      <alignment vertical="top" wrapText="1"/>
    </xf>
    <xf numFmtId="0" fontId="6" fillId="9" borderId="5" xfId="0" applyFont="1" applyFill="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horizontal="left" vertical="top" wrapText="1"/>
    </xf>
    <xf numFmtId="0" fontId="10" fillId="0" borderId="0" xfId="0" applyFont="1" applyAlignment="1">
      <alignment wrapText="1"/>
    </xf>
    <xf numFmtId="0" fontId="1" fillId="0" borderId="1" xfId="0" applyFont="1" applyBorder="1" applyAlignment="1">
      <alignment vertical="top" wrapText="1"/>
    </xf>
    <xf numFmtId="0" fontId="9" fillId="0" borderId="0" xfId="0" applyFont="1" applyAlignment="1">
      <alignment wrapText="1"/>
    </xf>
    <xf numFmtId="0" fontId="9" fillId="2" borderId="1" xfId="0" applyFont="1" applyFill="1" applyBorder="1" applyAlignment="1">
      <alignment wrapText="1"/>
    </xf>
    <xf numFmtId="0" fontId="9" fillId="12" borderId="0" xfId="0" applyFont="1" applyFill="1" applyAlignment="1">
      <alignment wrapText="1"/>
    </xf>
    <xf numFmtId="1" fontId="0" fillId="0" borderId="0" xfId="0" applyNumberFormat="1" applyAlignment="1">
      <alignment wrapText="1"/>
    </xf>
    <xf numFmtId="0" fontId="8" fillId="8" borderId="3" xfId="0" applyFont="1" applyFill="1" applyBorder="1" applyAlignment="1">
      <alignment vertical="top" wrapText="1"/>
    </xf>
    <xf numFmtId="0" fontId="8" fillId="8" borderId="4" xfId="0" applyFont="1" applyFill="1" applyBorder="1" applyAlignment="1">
      <alignment vertical="top" wrapText="1"/>
    </xf>
    <xf numFmtId="0" fontId="8" fillId="8" borderId="5" xfId="0" applyFont="1" applyFill="1" applyBorder="1" applyAlignment="1">
      <alignment vertical="top" wrapText="1"/>
    </xf>
    <xf numFmtId="0" fontId="12" fillId="7" borderId="4" xfId="0" applyFont="1" applyFill="1" applyBorder="1" applyAlignment="1">
      <alignment horizontal="left" vertical="top" wrapText="1"/>
    </xf>
    <xf numFmtId="0" fontId="5" fillId="12" borderId="1" xfId="0" applyFont="1" applyFill="1" applyBorder="1" applyAlignment="1">
      <alignment horizontal="right" vertical="top" wrapText="1"/>
    </xf>
    <xf numFmtId="0" fontId="5" fillId="12" borderId="1" xfId="0" applyFont="1" applyFill="1" applyBorder="1" applyAlignment="1">
      <alignment vertical="top" wrapText="1"/>
    </xf>
    <xf numFmtId="0" fontId="7" fillId="12" borderId="1" xfId="0" applyFont="1" applyFill="1" applyBorder="1" applyAlignment="1">
      <alignment vertical="top" wrapText="1"/>
    </xf>
    <xf numFmtId="0" fontId="6" fillId="0" borderId="0" xfId="0" applyFont="1" applyAlignment="1">
      <alignment horizontal="left" vertical="top" wrapText="1"/>
    </xf>
    <xf numFmtId="0" fontId="4" fillId="12" borderId="1" xfId="0" applyFont="1" applyFill="1" applyBorder="1" applyAlignment="1">
      <alignment horizontal="left" vertical="top" wrapText="1"/>
    </xf>
    <xf numFmtId="0" fontId="6" fillId="0" borderId="0" xfId="0" applyFont="1" applyAlignment="1">
      <alignment vertical="top" wrapText="1"/>
    </xf>
    <xf numFmtId="0" fontId="5" fillId="0" borderId="0" xfId="0" applyFont="1" applyAlignment="1">
      <alignment vertical="top" wrapText="1"/>
    </xf>
    <xf numFmtId="0" fontId="4" fillId="12" borderId="0" xfId="0" applyFont="1" applyFill="1" applyAlignment="1">
      <alignment horizontal="left" vertical="top" wrapText="1"/>
    </xf>
    <xf numFmtId="0" fontId="5" fillId="0" borderId="0" xfId="0" applyFont="1" applyAlignment="1">
      <alignment horizontal="right" vertical="top" wrapText="1"/>
    </xf>
    <xf numFmtId="0" fontId="5" fillId="0" borderId="0" xfId="0" applyFont="1" applyAlignment="1">
      <alignment horizontal="left" vertical="top" wrapText="1"/>
    </xf>
    <xf numFmtId="0" fontId="11" fillId="12" borderId="0" xfId="0" applyFont="1" applyFill="1" applyAlignment="1">
      <alignment wrapText="1"/>
    </xf>
    <xf numFmtId="0" fontId="4" fillId="0" borderId="5" xfId="0" applyFont="1" applyBorder="1" applyAlignment="1">
      <alignment horizontal="left" vertical="top" wrapText="1"/>
    </xf>
    <xf numFmtId="0" fontId="6" fillId="0" borderId="0" xfId="0" applyFont="1" applyAlignment="1">
      <alignment wrapText="1"/>
    </xf>
    <xf numFmtId="0" fontId="7" fillId="12" borderId="4" xfId="0" applyFont="1" applyFill="1" applyBorder="1" applyAlignment="1">
      <alignment vertical="top" wrapText="1"/>
    </xf>
    <xf numFmtId="0" fontId="14" fillId="0" borderId="4" xfId="0" applyFont="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4" xfId="0" applyFont="1" applyBorder="1" applyAlignment="1">
      <alignment horizontal="right" vertical="top" wrapText="1"/>
    </xf>
    <xf numFmtId="0" fontId="14" fillId="0" borderId="0" xfId="0" applyFont="1" applyAlignment="1">
      <alignment horizontal="right" vertical="top" wrapText="1"/>
    </xf>
    <xf numFmtId="0" fontId="5" fillId="5" borderId="4" xfId="0" applyFont="1" applyFill="1" applyBorder="1" applyAlignment="1">
      <alignment vertical="top" wrapText="1"/>
    </xf>
    <xf numFmtId="0" fontId="5" fillId="0" borderId="5" xfId="0" applyFont="1" applyBorder="1" applyAlignment="1">
      <alignment vertical="top" wrapText="1"/>
    </xf>
    <xf numFmtId="0" fontId="13" fillId="12" borderId="0" xfId="0" applyFont="1" applyFill="1" applyAlignment="1">
      <alignment wrapText="1"/>
    </xf>
    <xf numFmtId="0" fontId="4" fillId="8" borderId="13" xfId="0" applyFont="1" applyFill="1" applyBorder="1" applyAlignment="1">
      <alignment horizontal="left" vertical="top" wrapText="1"/>
    </xf>
    <xf numFmtId="0" fontId="11" fillId="0" borderId="0" xfId="0" applyFont="1" applyAlignment="1">
      <alignment wrapText="1"/>
    </xf>
    <xf numFmtId="0" fontId="6" fillId="0" borderId="0" xfId="0" applyFont="1"/>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5"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5" xfId="0" applyFont="1" applyFill="1" applyBorder="1" applyAlignment="1">
      <alignment horizontal="left" vertical="top" wrapText="1"/>
    </xf>
    <xf numFmtId="0" fontId="4" fillId="8" borderId="9"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8" borderId="4" xfId="0" applyFont="1" applyFill="1" applyBorder="1" applyAlignment="1">
      <alignment horizontal="left" vertical="top" wrapText="1"/>
    </xf>
    <xf numFmtId="0" fontId="8" fillId="8" borderId="5" xfId="0" applyFont="1" applyFill="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wrapText="1"/>
    </xf>
    <xf numFmtId="0" fontId="1" fillId="4"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5" fillId="0" borderId="1" xfId="0" applyFont="1" applyFill="1" applyBorder="1" applyAlignment="1">
      <alignment vertical="top" wrapText="1"/>
    </xf>
    <xf numFmtId="0" fontId="5" fillId="11" borderId="1" xfId="0" applyFont="1" applyFill="1" applyBorder="1" applyAlignment="1">
      <alignment vertical="top" wrapText="1"/>
    </xf>
    <xf numFmtId="0" fontId="5" fillId="0" borderId="1" xfId="0" applyFont="1" applyFill="1" applyBorder="1" applyAlignment="1">
      <alignment horizontal="center" vertical="top" wrapText="1"/>
    </xf>
    <xf numFmtId="0" fontId="6" fillId="0" borderId="1" xfId="0" applyFont="1" applyFill="1" applyBorder="1" applyAlignment="1">
      <alignment vertical="top" wrapText="1"/>
    </xf>
    <xf numFmtId="0" fontId="7" fillId="0" borderId="1" xfId="0" applyFont="1" applyFill="1" applyBorder="1" applyAlignment="1">
      <alignment vertical="top" wrapText="1"/>
    </xf>
    <xf numFmtId="0" fontId="5" fillId="0" borderId="4" xfId="0" applyFont="1" applyFill="1" applyBorder="1" applyAlignment="1">
      <alignmen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3" xfId="0" applyFont="1" applyFill="1" applyBorder="1" applyAlignment="1">
      <alignment vertical="top" wrapText="1"/>
    </xf>
    <xf numFmtId="0" fontId="5" fillId="11" borderId="1" xfId="0" applyFont="1" applyFill="1" applyBorder="1" applyAlignment="1">
      <alignment horizontal="center" vertical="top" wrapText="1"/>
    </xf>
    <xf numFmtId="0" fontId="6" fillId="11" borderId="1" xfId="0" applyFont="1" applyFill="1" applyBorder="1" applyAlignment="1">
      <alignment vertical="top" wrapText="1"/>
    </xf>
    <xf numFmtId="0" fontId="14" fillId="0" borderId="4" xfId="0" applyFont="1" applyFill="1" applyBorder="1" applyAlignment="1">
      <alignment horizontal="right" vertical="top" wrapText="1"/>
    </xf>
    <xf numFmtId="0" fontId="5" fillId="0" borderId="4" xfId="0" applyFont="1" applyFill="1" applyBorder="1" applyAlignment="1">
      <alignment horizontal="right" vertical="top" wrapText="1"/>
    </xf>
    <xf numFmtId="0" fontId="5" fillId="0" borderId="5" xfId="0" applyFont="1" applyFill="1" applyBorder="1" applyAlignment="1">
      <alignment horizontal="left" vertical="top" wrapText="1"/>
    </xf>
    <xf numFmtId="0" fontId="0" fillId="0" borderId="0" xfId="0" applyFill="1" applyAlignment="1">
      <alignment wrapText="1"/>
    </xf>
    <xf numFmtId="1" fontId="14" fillId="0" borderId="1" xfId="0" applyNumberFormat="1" applyFont="1" applyBorder="1" applyAlignment="1">
      <alignment horizontal="right" vertical="top" wrapText="1"/>
    </xf>
    <xf numFmtId="0" fontId="8" fillId="11" borderId="1" xfId="0" applyFont="1" applyFill="1" applyBorder="1" applyAlignment="1">
      <alignment horizontal="left" vertical="top" wrapText="1"/>
    </xf>
    <xf numFmtId="0" fontId="18" fillId="2" borderId="0" xfId="0" applyFont="1" applyFill="1" applyAlignment="1">
      <alignment wrapText="1"/>
    </xf>
    <xf numFmtId="3" fontId="0" fillId="0" borderId="0" xfId="0" applyNumberFormat="1"/>
    <xf numFmtId="0" fontId="19" fillId="0" borderId="1" xfId="0" applyFont="1" applyBorder="1" applyAlignment="1">
      <alignment wrapText="1"/>
    </xf>
    <xf numFmtId="0" fontId="19" fillId="0" borderId="3" xfId="0" applyFont="1" applyBorder="1"/>
    <xf numFmtId="0" fontId="19" fillId="0" borderId="1" xfId="0" applyFont="1" applyBorder="1"/>
    <xf numFmtId="1" fontId="19" fillId="0" borderId="1" xfId="0" applyNumberFormat="1" applyFont="1" applyBorder="1"/>
    <xf numFmtId="1" fontId="19" fillId="0" borderId="1" xfId="0" applyNumberFormat="1" applyFont="1" applyFill="1" applyBorder="1" applyAlignment="1">
      <alignment wrapText="1"/>
    </xf>
    <xf numFmtId="0" fontId="19" fillId="13" borderId="1" xfId="0" applyFont="1" applyFill="1" applyBorder="1"/>
    <xf numFmtId="3" fontId="19" fillId="13" borderId="1" xfId="0" applyNumberFormat="1" applyFont="1" applyFill="1" applyBorder="1"/>
    <xf numFmtId="9" fontId="19" fillId="13" borderId="1" xfId="2" applyFont="1" applyFill="1" applyBorder="1"/>
    <xf numFmtId="0" fontId="11" fillId="0" borderId="0" xfId="0" applyFont="1"/>
    <xf numFmtId="0" fontId="19" fillId="13" borderId="1" xfId="0" applyFont="1" applyFill="1" applyBorder="1" applyAlignment="1">
      <alignment wrapText="1"/>
    </xf>
    <xf numFmtId="0" fontId="20" fillId="0" borderId="1" xfId="0" applyFont="1" applyBorder="1" applyAlignment="1">
      <alignment wrapText="1"/>
    </xf>
    <xf numFmtId="3" fontId="20" fillId="0" borderId="1" xfId="0" applyNumberFormat="1" applyFont="1" applyBorder="1" applyAlignment="1">
      <alignment wrapText="1"/>
    </xf>
    <xf numFmtId="3" fontId="20" fillId="0" borderId="1" xfId="0" applyNumberFormat="1" applyFont="1" applyBorder="1"/>
    <xf numFmtId="9" fontId="20" fillId="0" borderId="1" xfId="2" applyFont="1" applyBorder="1"/>
    <xf numFmtId="3" fontId="21" fillId="0" borderId="1" xfId="0" applyNumberFormat="1" applyFont="1" applyBorder="1"/>
    <xf numFmtId="0" fontId="20" fillId="0" borderId="1" xfId="0" applyFont="1" applyBorder="1" applyAlignment="1">
      <alignment horizontal="left"/>
    </xf>
    <xf numFmtId="3" fontId="0" fillId="0" borderId="1" xfId="0" applyNumberFormat="1" applyBorder="1"/>
    <xf numFmtId="3" fontId="19" fillId="13" borderId="1" xfId="0" applyNumberFormat="1" applyFont="1" applyFill="1" applyBorder="1" applyAlignment="1">
      <alignment wrapText="1"/>
    </xf>
    <xf numFmtId="0" fontId="15" fillId="0" borderId="0" xfId="0" applyFont="1" applyFill="1"/>
    <xf numFmtId="0" fontId="0" fillId="0" borderId="0" xfId="0" applyBorder="1"/>
    <xf numFmtId="0" fontId="21" fillId="0" borderId="1" xfId="0" applyFont="1" applyFill="1" applyBorder="1" applyAlignment="1">
      <alignment wrapText="1"/>
    </xf>
    <xf numFmtId="3" fontId="21" fillId="0" borderId="1" xfId="0" applyNumberFormat="1" applyFont="1" applyFill="1" applyBorder="1" applyAlignment="1">
      <alignment wrapText="1"/>
    </xf>
    <xf numFmtId="3" fontId="21" fillId="0" borderId="1" xfId="0" applyNumberFormat="1" applyFont="1" applyFill="1" applyBorder="1"/>
    <xf numFmtId="9" fontId="21" fillId="0" borderId="1" xfId="2" applyFont="1" applyFill="1" applyBorder="1"/>
    <xf numFmtId="0" fontId="10" fillId="0" borderId="0" xfId="0" applyFont="1" applyFill="1"/>
    <xf numFmtId="0" fontId="15" fillId="0" borderId="0" xfId="0" applyFont="1"/>
    <xf numFmtId="3" fontId="20" fillId="0" borderId="0" xfId="0" applyNumberFormat="1" applyFont="1" applyBorder="1"/>
    <xf numFmtId="165" fontId="20" fillId="0" borderId="0" xfId="0" applyNumberFormat="1" applyFont="1" applyBorder="1"/>
    <xf numFmtId="166" fontId="19" fillId="0" borderId="1" xfId="0" applyNumberFormat="1" applyFont="1" applyBorder="1"/>
    <xf numFmtId="167" fontId="19" fillId="0" borderId="1" xfId="0" applyNumberFormat="1" applyFont="1" applyBorder="1"/>
    <xf numFmtId="166" fontId="0" fillId="0" borderId="0" xfId="0" applyNumberFormat="1"/>
    <xf numFmtId="167" fontId="0" fillId="0" borderId="0" xfId="0" applyNumberFormat="1"/>
    <xf numFmtId="0" fontId="22" fillId="0" borderId="0" xfId="0" applyFont="1" applyAlignment="1">
      <alignment horizontal="center"/>
    </xf>
    <xf numFmtId="43" fontId="0" fillId="0" borderId="0" xfId="1" applyFont="1"/>
    <xf numFmtId="43" fontId="22" fillId="0" borderId="0" xfId="1" applyFont="1"/>
    <xf numFmtId="164" fontId="0" fillId="0" borderId="0" xfId="0" applyNumberFormat="1"/>
    <xf numFmtId="0" fontId="0" fillId="0" borderId="0" xfId="0" applyAlignment="1">
      <alignment horizontal="center"/>
    </xf>
    <xf numFmtId="3" fontId="19" fillId="0" borderId="1" xfId="0" applyNumberFormat="1" applyFont="1" applyBorder="1"/>
    <xf numFmtId="3" fontId="20" fillId="13" borderId="1" xfId="0" applyNumberFormat="1" applyFont="1" applyFill="1" applyBorder="1"/>
    <xf numFmtId="0" fontId="20" fillId="13" borderId="1" xfId="0" applyFont="1" applyFill="1" applyBorder="1"/>
    <xf numFmtId="0" fontId="20" fillId="13" borderId="1" xfId="0" applyFont="1" applyFill="1" applyBorder="1" applyAlignment="1">
      <alignment wrapText="1"/>
    </xf>
    <xf numFmtId="0" fontId="20" fillId="0" borderId="1" xfId="0" applyFont="1" applyBorder="1"/>
    <xf numFmtId="0" fontId="19" fillId="0" borderId="2" xfId="0" applyFont="1" applyBorder="1" applyAlignment="1">
      <alignment horizontal="left" vertical="top" wrapText="1"/>
    </xf>
    <xf numFmtId="0" fontId="26" fillId="0" borderId="1" xfId="0" applyFont="1" applyBorder="1" applyAlignment="1">
      <alignment wrapText="1"/>
    </xf>
    <xf numFmtId="0" fontId="27" fillId="0" borderId="1" xfId="0" applyFont="1" applyBorder="1" applyAlignment="1">
      <alignment wrapText="1"/>
    </xf>
    <xf numFmtId="0" fontId="5" fillId="12" borderId="1" xfId="0" applyFont="1" applyFill="1" applyBorder="1" applyAlignment="1">
      <alignment horizontal="center" vertical="top" wrapText="1"/>
    </xf>
    <xf numFmtId="3" fontId="11" fillId="0" borderId="0" xfId="0" applyNumberFormat="1" applyFont="1"/>
    <xf numFmtId="3" fontId="20" fillId="12" borderId="1" xfId="0" applyNumberFormat="1" applyFont="1" applyFill="1" applyBorder="1"/>
    <xf numFmtId="168" fontId="0" fillId="0" borderId="0" xfId="1" applyNumberFormat="1" applyFont="1"/>
    <xf numFmtId="168" fontId="0" fillId="0" borderId="0" xfId="0" applyNumberFormat="1"/>
    <xf numFmtId="168" fontId="4" fillId="8" borderId="4" xfId="0" applyNumberFormat="1" applyFont="1" applyFill="1" applyBorder="1" applyAlignment="1">
      <alignment horizontal="left" vertical="top" wrapText="1"/>
    </xf>
    <xf numFmtId="168" fontId="8" fillId="8" borderId="4" xfId="0" applyNumberFormat="1" applyFont="1" applyFill="1" applyBorder="1" applyAlignment="1">
      <alignment vertical="top" wrapText="1"/>
    </xf>
    <xf numFmtId="1" fontId="28" fillId="0" borderId="0" xfId="0" applyNumberFormat="1" applyFont="1" applyAlignment="1">
      <alignment wrapText="1"/>
    </xf>
    <xf numFmtId="168" fontId="28" fillId="0" borderId="0" xfId="1" applyNumberFormat="1" applyFont="1" applyAlignment="1">
      <alignment wrapText="1"/>
    </xf>
    <xf numFmtId="0" fontId="28" fillId="0" borderId="0" xfId="0" applyFont="1" applyAlignment="1">
      <alignment wrapText="1"/>
    </xf>
    <xf numFmtId="168" fontId="29" fillId="0" borderId="0" xfId="0" applyNumberFormat="1" applyFont="1" applyAlignment="1">
      <alignment wrapText="1"/>
    </xf>
    <xf numFmtId="0" fontId="11" fillId="0" borderId="0" xfId="0" applyFont="1" applyBorder="1"/>
    <xf numFmtId="0" fontId="6" fillId="9" borderId="7" xfId="0" applyFont="1" applyFill="1" applyBorder="1" applyAlignment="1">
      <alignment vertical="top" wrapText="1"/>
    </xf>
    <xf numFmtId="0" fontId="6" fillId="11" borderId="4" xfId="0" applyFont="1" applyFill="1" applyBorder="1" applyAlignment="1">
      <alignment vertical="top" wrapText="1"/>
    </xf>
    <xf numFmtId="0" fontId="6" fillId="12" borderId="3" xfId="0" applyFont="1" applyFill="1" applyBorder="1" applyAlignment="1">
      <alignment vertical="top" wrapText="1"/>
    </xf>
    <xf numFmtId="0" fontId="6" fillId="12" borderId="4" xfId="0" applyFont="1" applyFill="1" applyBorder="1" applyAlignment="1">
      <alignment vertical="top" wrapText="1"/>
    </xf>
    <xf numFmtId="0" fontId="4" fillId="12" borderId="4" xfId="0" applyFont="1" applyFill="1" applyBorder="1" applyAlignment="1">
      <alignment horizontal="left" vertical="top" wrapText="1"/>
    </xf>
    <xf numFmtId="0" fontId="4" fillId="12" borderId="5" xfId="0" applyFont="1" applyFill="1" applyBorder="1" applyAlignment="1">
      <alignment horizontal="left" vertical="top" wrapText="1"/>
    </xf>
    <xf numFmtId="0" fontId="5" fillId="12" borderId="3" xfId="0" applyFont="1" applyFill="1" applyBorder="1" applyAlignment="1">
      <alignment vertical="top" wrapText="1"/>
    </xf>
    <xf numFmtId="0" fontId="5" fillId="12" borderId="4" xfId="0" applyFont="1" applyFill="1" applyBorder="1" applyAlignment="1">
      <alignment vertical="top" wrapText="1"/>
    </xf>
    <xf numFmtId="0" fontId="5" fillId="12" borderId="5" xfId="0" applyFont="1" applyFill="1" applyBorder="1" applyAlignment="1">
      <alignment horizontal="left" vertical="top" wrapText="1"/>
    </xf>
    <xf numFmtId="0" fontId="10" fillId="12" borderId="0" xfId="0" applyFont="1" applyFill="1" applyAlignment="1">
      <alignment wrapText="1"/>
    </xf>
    <xf numFmtId="0" fontId="4" fillId="8" borderId="15" xfId="0" applyFont="1" applyFill="1" applyBorder="1" applyAlignment="1">
      <alignment horizontal="left" vertical="top" wrapText="1"/>
    </xf>
    <xf numFmtId="0" fontId="6" fillId="12" borderId="1" xfId="0" applyFont="1" applyFill="1" applyBorder="1" applyAlignment="1">
      <alignment horizontal="left" vertical="top" wrapText="1"/>
    </xf>
    <xf numFmtId="0" fontId="6" fillId="12" borderId="1" xfId="0" applyFont="1" applyFill="1" applyBorder="1" applyAlignment="1">
      <alignment horizontal="right" vertical="top" wrapText="1"/>
    </xf>
    <xf numFmtId="168" fontId="16" fillId="2" borderId="1" xfId="1" applyNumberFormat="1" applyFont="1" applyFill="1" applyBorder="1" applyAlignment="1">
      <alignment wrapText="1"/>
    </xf>
    <xf numFmtId="168" fontId="12" fillId="10" borderId="1" xfId="1" applyNumberFormat="1" applyFont="1" applyFill="1" applyBorder="1"/>
    <xf numFmtId="168" fontId="0" fillId="0" borderId="0" xfId="0" applyNumberFormat="1" applyAlignment="1">
      <alignment wrapText="1"/>
    </xf>
    <xf numFmtId="3" fontId="30" fillId="0" borderId="6" xfId="0" applyNumberFormat="1" applyFont="1" applyBorder="1" applyAlignment="1">
      <alignment horizontal="center" vertical="top" wrapText="1"/>
    </xf>
    <xf numFmtId="3" fontId="21" fillId="12" borderId="1" xfId="0" applyNumberFormat="1" applyFont="1" applyFill="1" applyBorder="1"/>
    <xf numFmtId="3" fontId="20" fillId="0" borderId="14" xfId="0" applyNumberFormat="1" applyFont="1" applyFill="1" applyBorder="1"/>
    <xf numFmtId="168" fontId="11" fillId="0" borderId="0" xfId="1" applyNumberFormat="1" applyFont="1"/>
    <xf numFmtId="168" fontId="11" fillId="0" borderId="0" xfId="0" applyNumberFormat="1" applyFont="1"/>
    <xf numFmtId="0" fontId="5" fillId="12" borderId="1" xfId="0" applyFont="1" applyFill="1" applyBorder="1" applyAlignment="1">
      <alignment horizontal="left" vertical="top" wrapText="1"/>
    </xf>
    <xf numFmtId="0" fontId="0" fillId="12" borderId="0" xfId="0" applyFill="1" applyAlignment="1">
      <alignment wrapText="1"/>
    </xf>
    <xf numFmtId="0" fontId="6" fillId="12" borderId="5" xfId="0" applyFont="1" applyFill="1" applyBorder="1" applyAlignment="1">
      <alignment vertical="top" wrapText="1"/>
    </xf>
    <xf numFmtId="168" fontId="0" fillId="12" borderId="0" xfId="1" applyNumberFormat="1" applyFont="1" applyFill="1"/>
    <xf numFmtId="0" fontId="5" fillId="12" borderId="5" xfId="0" applyFont="1" applyFill="1" applyBorder="1" applyAlignment="1">
      <alignment vertical="top" wrapText="1"/>
    </xf>
    <xf numFmtId="0" fontId="6" fillId="12" borderId="5" xfId="0" applyFont="1" applyFill="1" applyBorder="1" applyAlignment="1">
      <alignment horizontal="left" vertical="top" wrapText="1"/>
    </xf>
    <xf numFmtId="168" fontId="0" fillId="0" borderId="0" xfId="1" applyNumberFormat="1" applyFont="1" applyAlignment="1">
      <alignment wrapText="1"/>
    </xf>
    <xf numFmtId="3" fontId="6" fillId="0" borderId="1" xfId="0" applyNumberFormat="1" applyFont="1" applyBorder="1" applyAlignment="1">
      <alignment vertical="top"/>
    </xf>
    <xf numFmtId="0" fontId="4" fillId="8" borderId="3" xfId="0" applyFont="1" applyFill="1" applyBorder="1" applyAlignment="1">
      <alignment vertical="top"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3" fillId="7" borderId="3" xfId="0" applyFont="1" applyFill="1" applyBorder="1" applyAlignment="1">
      <alignment vertical="top" wrapText="1"/>
    </xf>
    <xf numFmtId="0" fontId="3" fillId="7" borderId="4" xfId="0" applyFont="1" applyFill="1" applyBorder="1" applyAlignment="1">
      <alignment vertical="top" wrapText="1"/>
    </xf>
    <xf numFmtId="0" fontId="3" fillId="7" borderId="5" xfId="0" applyFont="1" applyFill="1" applyBorder="1" applyAlignment="1">
      <alignment vertical="top" wrapText="1"/>
    </xf>
    <xf numFmtId="0" fontId="6" fillId="12" borderId="10" xfId="0" applyFont="1" applyFill="1" applyBorder="1" applyAlignment="1">
      <alignment vertical="top" wrapText="1"/>
    </xf>
    <xf numFmtId="0" fontId="5" fillId="12" borderId="6" xfId="0" applyFont="1" applyFill="1" applyBorder="1" applyAlignment="1">
      <alignment vertical="top" wrapText="1"/>
    </xf>
    <xf numFmtId="0" fontId="8" fillId="12" borderId="1" xfId="0" applyFont="1" applyFill="1" applyBorder="1" applyAlignment="1">
      <alignment horizontal="left" vertical="top" wrapText="1"/>
    </xf>
    <xf numFmtId="0" fontId="4" fillId="12" borderId="6" xfId="0" applyFont="1" applyFill="1" applyBorder="1" applyAlignment="1">
      <alignment horizontal="left" vertical="top" wrapText="1"/>
    </xf>
    <xf numFmtId="0" fontId="6" fillId="12" borderId="6" xfId="0" applyFont="1" applyFill="1" applyBorder="1" applyAlignment="1">
      <alignment horizontal="left" vertical="top" wrapText="1"/>
    </xf>
    <xf numFmtId="0" fontId="5" fillId="14" borderId="1" xfId="0" applyFont="1" applyFill="1" applyBorder="1" applyAlignment="1">
      <alignment vertical="top" wrapText="1"/>
    </xf>
    <xf numFmtId="0" fontId="6" fillId="14" borderId="1" xfId="0" applyFont="1" applyFill="1" applyBorder="1" applyAlignment="1">
      <alignment vertical="top" wrapText="1"/>
    </xf>
    <xf numFmtId="0" fontId="5" fillId="14" borderId="1" xfId="0" applyFont="1" applyFill="1" applyBorder="1" applyAlignment="1">
      <alignment horizontal="center" vertical="top" wrapText="1"/>
    </xf>
    <xf numFmtId="0" fontId="5" fillId="12" borderId="0" xfId="0" applyFont="1" applyFill="1" applyAlignment="1">
      <alignment horizontal="center" vertical="top" wrapText="1"/>
    </xf>
    <xf numFmtId="0" fontId="7" fillId="14" borderId="1" xfId="0" applyFont="1" applyFill="1" applyBorder="1" applyAlignment="1">
      <alignment vertical="top" wrapText="1"/>
    </xf>
    <xf numFmtId="0" fontId="6" fillId="14" borderId="3" xfId="0" applyFont="1" applyFill="1" applyBorder="1" applyAlignment="1">
      <alignment vertical="top" wrapText="1"/>
    </xf>
    <xf numFmtId="0" fontId="5" fillId="14" borderId="4" xfId="0" applyFont="1" applyFill="1" applyBorder="1" applyAlignment="1">
      <alignment vertical="top" wrapText="1"/>
    </xf>
    <xf numFmtId="0" fontId="4" fillId="14" borderId="1" xfId="0" applyFont="1" applyFill="1" applyBorder="1" applyAlignment="1">
      <alignment horizontal="left" vertical="top" wrapText="1"/>
    </xf>
    <xf numFmtId="168" fontId="13" fillId="10" borderId="0" xfId="0" applyNumberFormat="1" applyFont="1" applyFill="1" applyAlignment="1">
      <alignment wrapText="1"/>
    </xf>
    <xf numFmtId="0" fontId="1" fillId="15" borderId="1" xfId="0" applyFont="1" applyFill="1" applyBorder="1" applyAlignment="1">
      <alignment horizontal="center" vertical="center" wrapText="1"/>
    </xf>
    <xf numFmtId="0" fontId="6" fillId="12" borderId="8" xfId="0" applyFont="1" applyFill="1" applyBorder="1" applyAlignment="1">
      <alignment vertical="top" wrapText="1"/>
    </xf>
    <xf numFmtId="0" fontId="5" fillId="15" borderId="4" xfId="0" applyFont="1" applyFill="1" applyBorder="1" applyAlignment="1">
      <alignment vertical="top" wrapText="1"/>
    </xf>
    <xf numFmtId="0" fontId="14" fillId="12" borderId="4" xfId="0" applyFont="1" applyFill="1" applyBorder="1" applyAlignment="1">
      <alignment vertical="top" wrapText="1"/>
    </xf>
    <xf numFmtId="168" fontId="0" fillId="12" borderId="0" xfId="0" applyNumberFormat="1" applyFill="1" applyAlignment="1">
      <alignment wrapText="1"/>
    </xf>
    <xf numFmtId="168" fontId="32" fillId="0" borderId="0" xfId="0" applyNumberFormat="1"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5" borderId="6"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3" xfId="0" applyFont="1" applyFill="1" applyBorder="1" applyAlignment="1">
      <alignment vertical="top" wrapText="1"/>
    </xf>
    <xf numFmtId="0" fontId="1" fillId="5" borderId="4" xfId="0" applyFont="1" applyFill="1" applyBorder="1" applyAlignment="1">
      <alignment vertical="top" wrapText="1"/>
    </xf>
    <xf numFmtId="0" fontId="1" fillId="5" borderId="5" xfId="0" applyFont="1" applyFill="1" applyBorder="1" applyAlignment="1">
      <alignmen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5" xfId="0" applyFont="1" applyFill="1" applyBorder="1" applyAlignment="1">
      <alignment horizontal="left" vertical="top" wrapText="1"/>
    </xf>
    <xf numFmtId="0" fontId="2" fillId="5" borderId="6" xfId="0" applyFont="1" applyFill="1" applyBorder="1" applyAlignment="1">
      <alignment horizontal="center" vertical="top" wrapText="1"/>
    </xf>
    <xf numFmtId="0" fontId="2"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5" xfId="0" applyFont="1" applyFill="1" applyBorder="1" applyAlignment="1">
      <alignment horizontal="center" vertical="top" wrapText="1"/>
    </xf>
    <xf numFmtId="0" fontId="9" fillId="0" borderId="10" xfId="0" applyFont="1" applyBorder="1" applyAlignment="1">
      <alignment wrapText="1"/>
    </xf>
    <xf numFmtId="0" fontId="31" fillId="0" borderId="8" xfId="0" applyFont="1" applyBorder="1" applyAlignment="1">
      <alignment wrapText="1"/>
    </xf>
    <xf numFmtId="0" fontId="3" fillId="7" borderId="11" xfId="0" applyFont="1" applyFill="1" applyBorder="1" applyAlignment="1">
      <alignment horizontal="left" vertical="top" wrapText="1"/>
    </xf>
    <xf numFmtId="0" fontId="3" fillId="7" borderId="9" xfId="0" applyFont="1" applyFill="1" applyBorder="1" applyAlignment="1">
      <alignment horizontal="left" vertical="top" wrapText="1"/>
    </xf>
    <xf numFmtId="0" fontId="3" fillId="7" borderId="12" xfId="0" applyFont="1" applyFill="1" applyBorder="1" applyAlignment="1">
      <alignment horizontal="lef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4" fillId="8" borderId="9" xfId="0" applyFont="1" applyFill="1" applyBorder="1" applyAlignment="1">
      <alignment horizontal="left" vertical="top" wrapText="1"/>
    </xf>
    <xf numFmtId="0" fontId="8" fillId="8" borderId="1"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8" borderId="4" xfId="0" applyFont="1" applyFill="1" applyBorder="1" applyAlignment="1">
      <alignment horizontal="left" vertical="top" wrapText="1"/>
    </xf>
    <xf numFmtId="0" fontId="8" fillId="8" borderId="5" xfId="0" applyFont="1" applyFill="1" applyBorder="1" applyAlignment="1">
      <alignment horizontal="left" vertical="top" wrapText="1"/>
    </xf>
    <xf numFmtId="0" fontId="4" fillId="10" borderId="3" xfId="0" applyFont="1" applyFill="1" applyBorder="1" applyAlignment="1">
      <alignment horizontal="left" vertical="top" wrapText="1"/>
    </xf>
    <xf numFmtId="0" fontId="4" fillId="10" borderId="4" xfId="0" applyFont="1" applyFill="1" applyBorder="1" applyAlignment="1">
      <alignment horizontal="left" vertical="top" wrapText="1"/>
    </xf>
    <xf numFmtId="0" fontId="4" fillId="10" borderId="5"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5" xfId="0" applyFont="1" applyFill="1" applyBorder="1" applyAlignment="1">
      <alignment horizontal="left" vertical="top" wrapText="1"/>
    </xf>
    <xf numFmtId="3" fontId="19" fillId="0" borderId="1" xfId="0" applyNumberFormat="1" applyFont="1" applyBorder="1" applyAlignment="1">
      <alignment horizontal="center"/>
    </xf>
    <xf numFmtId="0" fontId="19" fillId="0" borderId="1" xfId="0" applyFont="1" applyBorder="1" applyAlignment="1">
      <alignment horizontal="center"/>
    </xf>
    <xf numFmtId="0" fontId="22" fillId="0" borderId="0" xfId="0" applyFont="1" applyAlignment="1">
      <alignment horizontal="left"/>
    </xf>
    <xf numFmtId="3" fontId="23" fillId="0" borderId="6" xfId="0" applyNumberFormat="1" applyFont="1" applyFill="1" applyBorder="1" applyAlignment="1">
      <alignment horizontal="left" vertical="center" wrapText="1"/>
    </xf>
    <xf numFmtId="3" fontId="23" fillId="0" borderId="14" xfId="0" applyNumberFormat="1" applyFont="1" applyFill="1" applyBorder="1" applyAlignment="1">
      <alignment horizontal="left" vertical="center" wrapText="1"/>
    </xf>
    <xf numFmtId="3" fontId="23" fillId="0" borderId="2" xfId="0" applyNumberFormat="1" applyFont="1" applyFill="1" applyBorder="1" applyAlignment="1">
      <alignment horizontal="left" vertical="center" wrapText="1"/>
    </xf>
    <xf numFmtId="3" fontId="23" fillId="0" borderId="1" xfId="0" applyNumberFormat="1" applyFont="1" applyFill="1" applyBorder="1" applyAlignment="1">
      <alignment horizontal="left" vertical="center" wrapText="1"/>
    </xf>
    <xf numFmtId="3" fontId="23" fillId="0" borderId="1" xfId="0" applyNumberFormat="1" applyFont="1" applyFill="1" applyBorder="1" applyAlignment="1">
      <alignment horizontal="left" vertical="center"/>
    </xf>
    <xf numFmtId="0" fontId="19" fillId="0" borderId="6" xfId="0" applyFont="1" applyBorder="1" applyAlignment="1">
      <alignment horizontal="left" vertical="top" wrapText="1"/>
    </xf>
    <xf numFmtId="0" fontId="19" fillId="0" borderId="14" xfId="0" applyFont="1" applyBorder="1" applyAlignment="1">
      <alignment horizontal="left" vertical="top" wrapText="1"/>
    </xf>
    <xf numFmtId="0" fontId="19" fillId="0" borderId="2" xfId="0" applyFont="1" applyBorder="1" applyAlignment="1">
      <alignment horizontal="left" vertical="top" wrapText="1"/>
    </xf>
    <xf numFmtId="3" fontId="19" fillId="0" borderId="3" xfId="0" applyNumberFormat="1" applyFont="1" applyBorder="1" applyAlignment="1">
      <alignment horizontal="center"/>
    </xf>
    <xf numFmtId="3" fontId="19" fillId="0" borderId="4" xfId="0" applyNumberFormat="1" applyFont="1" applyBorder="1" applyAlignment="1">
      <alignment horizontal="center"/>
    </xf>
    <xf numFmtId="3" fontId="19" fillId="0" borderId="5" xfId="0" applyNumberFormat="1" applyFont="1" applyBorder="1" applyAlignment="1">
      <alignment horizontal="center"/>
    </xf>
    <xf numFmtId="3" fontId="20" fillId="0" borderId="6" xfId="0" applyNumberFormat="1" applyFont="1" applyBorder="1" applyAlignment="1">
      <alignment horizontal="center"/>
    </xf>
    <xf numFmtId="3" fontId="20" fillId="0" borderId="14" xfId="0" applyNumberFormat="1" applyFont="1" applyBorder="1" applyAlignment="1">
      <alignment horizontal="center"/>
    </xf>
    <xf numFmtId="3" fontId="20" fillId="0" borderId="2" xfId="0" applyNumberFormat="1" applyFont="1" applyBorder="1" applyAlignment="1">
      <alignment horizontal="center"/>
    </xf>
    <xf numFmtId="0" fontId="20" fillId="0" borderId="6" xfId="0" applyFont="1" applyBorder="1" applyAlignment="1">
      <alignment horizontal="center" wrapText="1"/>
    </xf>
    <xf numFmtId="0" fontId="20" fillId="0" borderId="14" xfId="0" applyFont="1" applyBorder="1" applyAlignment="1">
      <alignment horizontal="center" wrapText="1"/>
    </xf>
    <xf numFmtId="0" fontId="20" fillId="0" borderId="2" xfId="0" applyFont="1" applyBorder="1" applyAlignment="1">
      <alignment horizontal="center" wrapText="1"/>
    </xf>
    <xf numFmtId="3" fontId="20" fillId="0" borderId="6" xfId="0" applyNumberFormat="1" applyFont="1" applyBorder="1"/>
    <xf numFmtId="3" fontId="20" fillId="0" borderId="14" xfId="0" applyNumberFormat="1" applyFont="1" applyBorder="1"/>
    <xf numFmtId="3" fontId="20" fillId="0" borderId="2" xfId="0" applyNumberFormat="1" applyFont="1" applyBorder="1"/>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left" vertical="center"/>
    </xf>
    <xf numFmtId="3" fontId="20" fillId="0" borderId="6" xfId="0" applyNumberFormat="1" applyFont="1" applyBorder="1" applyAlignment="1">
      <alignment horizontal="left" wrapText="1"/>
    </xf>
    <xf numFmtId="3" fontId="20" fillId="0" borderId="14" xfId="0" applyNumberFormat="1" applyFont="1" applyBorder="1" applyAlignment="1">
      <alignment horizontal="left" wrapText="1"/>
    </xf>
    <xf numFmtId="3" fontId="20" fillId="0" borderId="2" xfId="0" applyNumberFormat="1" applyFont="1" applyBorder="1" applyAlignment="1">
      <alignment horizontal="left" wrapText="1"/>
    </xf>
    <xf numFmtId="3" fontId="20" fillId="0" borderId="6" xfId="0" applyNumberFormat="1" applyFont="1" applyBorder="1" applyAlignment="1">
      <alignment horizontal="left" vertical="center" wrapText="1"/>
    </xf>
    <xf numFmtId="3" fontId="20" fillId="0" borderId="14" xfId="0" applyNumberFormat="1" applyFont="1" applyBorder="1" applyAlignment="1">
      <alignment horizontal="left" vertical="center" wrapText="1"/>
    </xf>
    <xf numFmtId="3" fontId="20" fillId="0" borderId="2" xfId="0" applyNumberFormat="1" applyFont="1" applyBorder="1" applyAlignment="1">
      <alignment horizontal="left" vertical="center" wrapText="1"/>
    </xf>
    <xf numFmtId="167" fontId="20" fillId="0" borderId="1" xfId="0" applyNumberFormat="1" applyFont="1" applyBorder="1" applyAlignment="1">
      <alignment horizontal="left" vertical="center" wrapText="1"/>
    </xf>
    <xf numFmtId="0" fontId="4" fillId="12" borderId="3" xfId="0" applyFont="1" applyFill="1" applyBorder="1" applyAlignment="1">
      <alignment horizontal="left" vertical="top" wrapText="1"/>
    </xf>
    <xf numFmtId="0" fontId="6" fillId="12" borderId="0" xfId="0" applyFont="1" applyFill="1" applyBorder="1" applyAlignment="1">
      <alignment vertical="top" wrapText="1"/>
    </xf>
    <xf numFmtId="0" fontId="6" fillId="12" borderId="7" xfId="0" applyFont="1" applyFill="1" applyBorder="1" applyAlignment="1">
      <alignment vertical="top" wrapText="1"/>
    </xf>
    <xf numFmtId="0" fontId="14" fillId="12" borderId="1" xfId="0" applyFont="1" applyFill="1" applyBorder="1" applyAlignment="1">
      <alignment horizontal="right" vertical="top" wrapText="1"/>
    </xf>
    <xf numFmtId="0" fontId="5" fillId="12" borderId="0" xfId="0" applyFont="1" applyFill="1" applyBorder="1" applyAlignment="1">
      <alignment horizontal="right" vertical="top" wrapText="1"/>
    </xf>
    <xf numFmtId="0" fontId="5" fillId="12" borderId="0" xfId="0" applyFont="1" applyFill="1" applyBorder="1" applyAlignment="1">
      <alignment horizontal="left" vertical="top" wrapText="1"/>
    </xf>
    <xf numFmtId="0" fontId="5" fillId="12" borderId="8" xfId="0" applyFont="1" applyFill="1" applyBorder="1" applyAlignment="1">
      <alignment vertical="top" wrapText="1"/>
    </xf>
    <xf numFmtId="0" fontId="14" fillId="12" borderId="4" xfId="0" applyFont="1" applyFill="1" applyBorder="1" applyAlignment="1">
      <alignment horizontal="right" vertical="top" wrapText="1"/>
    </xf>
    <xf numFmtId="0" fontId="5" fillId="12" borderId="4" xfId="0" applyFont="1" applyFill="1" applyBorder="1" applyAlignment="1">
      <alignment horizontal="right" vertical="top" wrapText="1"/>
    </xf>
    <xf numFmtId="0" fontId="6" fillId="12" borderId="6" xfId="0" applyFont="1" applyFill="1" applyBorder="1" applyAlignment="1">
      <alignment vertical="top" wrapText="1"/>
    </xf>
    <xf numFmtId="0" fontId="5" fillId="14" borderId="6" xfId="0" applyFont="1" applyFill="1" applyBorder="1" applyAlignment="1">
      <alignment vertical="top" wrapText="1"/>
    </xf>
    <xf numFmtId="0" fontId="9" fillId="0" borderId="0" xfId="0" applyFont="1" applyBorder="1" applyAlignment="1">
      <alignment wrapText="1"/>
    </xf>
    <xf numFmtId="1" fontId="15" fillId="0" borderId="0" xfId="0" applyNumberFormat="1" applyFont="1" applyBorder="1" applyAlignment="1">
      <alignment wrapText="1"/>
    </xf>
    <xf numFmtId="0" fontId="15" fillId="0" borderId="0" xfId="0" applyFont="1" applyBorder="1" applyAlignment="1">
      <alignment wrapText="1"/>
    </xf>
    <xf numFmtId="0" fontId="31" fillId="0" borderId="0" xfId="0" applyFont="1" applyBorder="1" applyAlignment="1">
      <alignment wrapText="1"/>
    </xf>
  </cellXfs>
  <cellStyles count="3">
    <cellStyle name="Milliers" xfId="1" builtinId="3"/>
    <cellStyle name="Normal" xfId="0" builtinId="0"/>
    <cellStyle name="Pourcentage" xfId="2" builtinId="5"/>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6"/>
  <sheetViews>
    <sheetView tabSelected="1" topLeftCell="A3" zoomScale="112" zoomScaleNormal="112" workbookViewId="0">
      <pane xSplit="1" ySplit="7" topLeftCell="V115" activePane="bottomRight" state="frozen"/>
      <selection activeCell="A3" sqref="A3"/>
      <selection pane="topRight" activeCell="B3" sqref="B3"/>
      <selection pane="bottomLeft" activeCell="A10" sqref="A10"/>
      <selection pane="bottomRight" activeCell="A100" sqref="A100:XFD100"/>
    </sheetView>
  </sheetViews>
  <sheetFormatPr baseColWidth="10" defaultColWidth="11.453125" defaultRowHeight="14.5" x14ac:dyDescent="0.35"/>
  <cols>
    <col min="1" max="1" width="87.54296875" style="10" customWidth="1"/>
    <col min="2" max="2" width="36.453125" style="10" customWidth="1"/>
    <col min="3" max="3" width="19" style="10" customWidth="1"/>
    <col min="4" max="4" width="3.1796875" style="10" customWidth="1"/>
    <col min="5" max="5" width="7.81640625" style="10" customWidth="1"/>
    <col min="6" max="6" width="6.453125" style="10" customWidth="1"/>
    <col min="7" max="7" width="8.453125" style="10" customWidth="1"/>
    <col min="8" max="8" width="3" style="10" customWidth="1"/>
    <col min="9" max="9" width="4.81640625" style="10" customWidth="1"/>
    <col min="10" max="10" width="4.90625" style="10" customWidth="1"/>
    <col min="11" max="13" width="3.1796875" style="10" customWidth="1"/>
    <col min="14" max="14" width="5.90625" style="10" customWidth="1"/>
    <col min="15" max="15" width="4.54296875" style="10" customWidth="1"/>
    <col min="16" max="17" width="4.1796875" style="10" customWidth="1"/>
    <col min="18" max="18" width="4.6328125" style="10" customWidth="1"/>
    <col min="19" max="19" width="4.1796875" style="10" customWidth="1"/>
    <col min="20" max="20" width="3.1796875" style="10" customWidth="1"/>
    <col min="21" max="21" width="22.453125" style="10" customWidth="1"/>
    <col min="22" max="22" width="14.6328125" style="10" customWidth="1"/>
    <col min="23" max="23" width="21.90625" style="10" bestFit="1" customWidth="1"/>
    <col min="24" max="24" width="16.36328125" style="10" bestFit="1" customWidth="1"/>
    <col min="25" max="25" width="12.81640625" style="10" bestFit="1" customWidth="1"/>
    <col min="26" max="16384" width="11.453125" style="10"/>
  </cols>
  <sheetData>
    <row r="1" spans="1:26" s="75" customFormat="1" ht="15.5" x14ac:dyDescent="0.35">
      <c r="A1" s="72" t="s">
        <v>0</v>
      </c>
      <c r="B1" s="72" t="s">
        <v>1</v>
      </c>
      <c r="C1" s="72"/>
      <c r="D1" s="73"/>
      <c r="E1" s="74"/>
      <c r="F1" s="210"/>
      <c r="G1" s="211"/>
      <c r="H1" s="211"/>
      <c r="I1" s="211"/>
      <c r="J1" s="211"/>
      <c r="K1" s="211"/>
      <c r="L1" s="211"/>
      <c r="M1" s="211"/>
      <c r="N1" s="211"/>
      <c r="O1" s="211"/>
      <c r="P1" s="211"/>
      <c r="Q1" s="211"/>
      <c r="R1" s="211"/>
      <c r="S1" s="211"/>
      <c r="T1" s="211"/>
      <c r="U1" s="211"/>
      <c r="V1" s="211"/>
      <c r="W1" s="211"/>
      <c r="X1" s="211"/>
      <c r="Y1" s="211"/>
      <c r="Z1" s="212"/>
    </row>
    <row r="2" spans="1:26" s="75" customFormat="1" ht="31" x14ac:dyDescent="0.35">
      <c r="A2" s="72" t="s">
        <v>2</v>
      </c>
      <c r="B2" s="72" t="s">
        <v>3</v>
      </c>
      <c r="C2" s="72"/>
      <c r="D2" s="73"/>
      <c r="E2" s="76"/>
      <c r="F2" s="210" t="s">
        <v>4</v>
      </c>
      <c r="G2" s="212"/>
      <c r="H2" s="73"/>
      <c r="I2" s="73"/>
      <c r="J2" s="73"/>
      <c r="K2" s="73"/>
      <c r="L2" s="73"/>
      <c r="M2" s="73"/>
      <c r="N2" s="73"/>
      <c r="O2" s="73"/>
      <c r="P2" s="73"/>
      <c r="Q2" s="73"/>
      <c r="R2" s="73"/>
      <c r="S2" s="73"/>
      <c r="T2" s="73"/>
      <c r="U2" s="73"/>
      <c r="V2" s="73"/>
      <c r="W2" s="73"/>
      <c r="X2" s="73"/>
      <c r="Y2" s="73"/>
      <c r="Z2" s="73"/>
    </row>
    <row r="3" spans="1:26" s="75" customFormat="1" ht="15.5" x14ac:dyDescent="0.35">
      <c r="A3" s="72" t="s">
        <v>5</v>
      </c>
      <c r="B3" s="72" t="s">
        <v>6</v>
      </c>
      <c r="C3" s="72"/>
      <c r="D3" s="210"/>
      <c r="E3" s="211"/>
      <c r="F3" s="211"/>
      <c r="G3" s="211"/>
      <c r="H3" s="211"/>
      <c r="I3" s="211"/>
      <c r="J3" s="211"/>
      <c r="K3" s="211"/>
      <c r="L3" s="211"/>
      <c r="M3" s="211"/>
      <c r="N3" s="211"/>
      <c r="O3" s="211"/>
      <c r="P3" s="211"/>
      <c r="Q3" s="211"/>
      <c r="R3" s="211"/>
      <c r="S3" s="211"/>
      <c r="T3" s="211"/>
      <c r="U3" s="211"/>
      <c r="V3" s="211"/>
      <c r="W3" s="211"/>
      <c r="X3" s="211"/>
      <c r="Y3" s="211"/>
      <c r="Z3" s="212"/>
    </row>
    <row r="4" spans="1:26" s="75" customFormat="1" ht="27.5" customHeight="1" x14ac:dyDescent="0.35">
      <c r="A4" s="72" t="s">
        <v>7</v>
      </c>
      <c r="B4" s="72" t="s">
        <v>8</v>
      </c>
      <c r="C4" s="72"/>
      <c r="D4" s="73"/>
      <c r="E4" s="204"/>
      <c r="F4" s="210" t="s">
        <v>9</v>
      </c>
      <c r="G4" s="212"/>
      <c r="H4" s="210"/>
      <c r="I4" s="211"/>
      <c r="J4" s="211"/>
      <c r="K4" s="211"/>
      <c r="L4" s="211"/>
      <c r="M4" s="211"/>
      <c r="N4" s="211"/>
      <c r="O4" s="211"/>
      <c r="P4" s="211"/>
      <c r="Q4" s="211"/>
      <c r="R4" s="211"/>
      <c r="S4" s="211"/>
      <c r="T4" s="211"/>
      <c r="U4" s="211"/>
      <c r="V4" s="211"/>
      <c r="W4" s="211"/>
      <c r="X4" s="211"/>
      <c r="Y4" s="211"/>
      <c r="Z4" s="212"/>
    </row>
    <row r="5" spans="1:26" s="75" customFormat="1" ht="31" x14ac:dyDescent="0.35">
      <c r="A5" s="72" t="s">
        <v>10</v>
      </c>
      <c r="B5" s="72" t="s">
        <v>265</v>
      </c>
      <c r="C5" s="72"/>
      <c r="D5" s="210"/>
      <c r="E5" s="211"/>
      <c r="F5" s="211"/>
      <c r="G5" s="211"/>
      <c r="H5" s="211"/>
      <c r="I5" s="211"/>
      <c r="J5" s="211"/>
      <c r="K5" s="211"/>
      <c r="L5" s="211"/>
      <c r="M5" s="211"/>
      <c r="N5" s="211"/>
      <c r="O5" s="211"/>
      <c r="P5" s="211"/>
      <c r="Q5" s="211"/>
      <c r="R5" s="211"/>
      <c r="S5" s="211"/>
      <c r="T5" s="211"/>
      <c r="U5" s="211"/>
      <c r="V5" s="211"/>
      <c r="W5" s="211"/>
      <c r="X5" s="211"/>
      <c r="Y5" s="211"/>
      <c r="Z5" s="212"/>
    </row>
    <row r="6" spans="1:26" ht="15.5" x14ac:dyDescent="0.35">
      <c r="A6" s="224" t="s">
        <v>11</v>
      </c>
      <c r="B6" s="213" t="s">
        <v>12</v>
      </c>
      <c r="C6" s="213" t="s">
        <v>13</v>
      </c>
      <c r="D6" s="213"/>
      <c r="E6" s="226" t="s">
        <v>273</v>
      </c>
      <c r="F6" s="227"/>
      <c r="G6" s="228"/>
      <c r="H6" s="213"/>
      <c r="I6" s="215" t="s">
        <v>272</v>
      </c>
      <c r="J6" s="216"/>
      <c r="K6" s="217"/>
      <c r="L6" s="213"/>
      <c r="M6" s="218" t="s">
        <v>271</v>
      </c>
      <c r="N6" s="219"/>
      <c r="O6" s="220"/>
      <c r="P6" s="213"/>
      <c r="Q6" s="215" t="s">
        <v>270</v>
      </c>
      <c r="R6" s="216"/>
      <c r="S6" s="217"/>
      <c r="T6" s="213"/>
      <c r="U6" s="213" t="s">
        <v>14</v>
      </c>
      <c r="V6" s="213" t="s">
        <v>15</v>
      </c>
      <c r="W6" s="213" t="s">
        <v>16</v>
      </c>
      <c r="X6" s="213" t="s">
        <v>17</v>
      </c>
      <c r="Y6" s="213" t="s">
        <v>18</v>
      </c>
      <c r="Z6" s="213" t="s">
        <v>19</v>
      </c>
    </row>
    <row r="7" spans="1:26" s="75" customFormat="1" ht="31" x14ac:dyDescent="0.35">
      <c r="A7" s="225"/>
      <c r="B7" s="214"/>
      <c r="C7" s="214"/>
      <c r="D7" s="214"/>
      <c r="E7" s="78" t="s">
        <v>20</v>
      </c>
      <c r="F7" s="78" t="s">
        <v>21</v>
      </c>
      <c r="G7" s="78" t="s">
        <v>22</v>
      </c>
      <c r="H7" s="214"/>
      <c r="I7" s="77" t="s">
        <v>23</v>
      </c>
      <c r="J7" s="77" t="s">
        <v>24</v>
      </c>
      <c r="K7" s="77" t="s">
        <v>25</v>
      </c>
      <c r="L7" s="214"/>
      <c r="M7" s="77" t="s">
        <v>26</v>
      </c>
      <c r="N7" s="77" t="s">
        <v>27</v>
      </c>
      <c r="O7" s="77" t="s">
        <v>28</v>
      </c>
      <c r="P7" s="214"/>
      <c r="Q7" s="77" t="s">
        <v>29</v>
      </c>
      <c r="R7" s="77" t="s">
        <v>30</v>
      </c>
      <c r="S7" s="77" t="s">
        <v>31</v>
      </c>
      <c r="T7" s="214"/>
      <c r="U7" s="214"/>
      <c r="V7" s="214"/>
      <c r="W7" s="214"/>
      <c r="X7" s="214"/>
      <c r="Y7" s="214"/>
      <c r="Z7" s="214"/>
    </row>
    <row r="8" spans="1:26" ht="15" x14ac:dyDescent="0.35">
      <c r="A8" s="187" t="s">
        <v>32</v>
      </c>
      <c r="B8" s="188"/>
      <c r="C8" s="188"/>
      <c r="D8" s="188"/>
      <c r="E8" s="188"/>
      <c r="F8" s="188"/>
      <c r="G8" s="188"/>
      <c r="H8" s="188"/>
      <c r="I8" s="188"/>
      <c r="J8" s="188"/>
      <c r="K8" s="188"/>
      <c r="L8" s="188"/>
      <c r="M8" s="188"/>
      <c r="N8" s="188"/>
      <c r="O8" s="188"/>
      <c r="P8" s="188"/>
      <c r="Q8" s="188"/>
      <c r="R8" s="188"/>
      <c r="S8" s="188"/>
      <c r="T8" s="188"/>
      <c r="U8" s="188"/>
      <c r="V8" s="188"/>
      <c r="W8" s="188"/>
      <c r="X8" s="188">
        <v>124829</v>
      </c>
      <c r="Y8" s="188"/>
      <c r="Z8" s="189"/>
    </row>
    <row r="9" spans="1:26" s="177" customFormat="1" ht="66.5" customHeight="1" x14ac:dyDescent="0.35">
      <c r="A9" s="38" t="s">
        <v>302</v>
      </c>
      <c r="B9" s="38" t="s">
        <v>303</v>
      </c>
      <c r="C9" s="38" t="s">
        <v>36</v>
      </c>
      <c r="D9" s="38"/>
      <c r="E9" s="38"/>
      <c r="F9" s="38"/>
      <c r="G9" s="38"/>
      <c r="H9" s="9"/>
      <c r="I9" s="195"/>
      <c r="J9" s="38"/>
      <c r="K9" s="38"/>
      <c r="L9" s="38"/>
      <c r="M9" s="38"/>
      <c r="N9" s="38"/>
      <c r="O9" s="38"/>
      <c r="P9" s="38"/>
      <c r="Q9" s="38"/>
      <c r="R9" s="38"/>
      <c r="S9" s="38"/>
      <c r="T9" s="38"/>
      <c r="U9" s="38" t="s">
        <v>304</v>
      </c>
      <c r="V9" s="38"/>
      <c r="W9" s="38">
        <v>6700</v>
      </c>
      <c r="X9" s="38"/>
      <c r="Y9" s="38" t="s">
        <v>38</v>
      </c>
      <c r="Z9" s="38" t="s">
        <v>33</v>
      </c>
    </row>
    <row r="10" spans="1:26" s="177" customFormat="1" ht="46" customHeight="1" x14ac:dyDescent="0.35">
      <c r="A10" s="161" t="s">
        <v>250</v>
      </c>
      <c r="B10" s="162"/>
      <c r="C10" s="162"/>
      <c r="D10" s="162"/>
      <c r="E10" s="195"/>
      <c r="F10" s="195"/>
      <c r="G10" s="195"/>
      <c r="H10" s="12"/>
      <c r="I10" s="195"/>
      <c r="J10" s="195"/>
      <c r="K10" s="195"/>
      <c r="L10" s="38"/>
      <c r="M10" s="38"/>
      <c r="N10" s="38"/>
      <c r="O10" s="38"/>
      <c r="P10" s="38"/>
      <c r="Q10" s="38"/>
      <c r="R10" s="38"/>
      <c r="S10" s="38"/>
      <c r="T10" s="38"/>
      <c r="U10" s="38"/>
      <c r="V10" s="38"/>
      <c r="W10" s="38">
        <v>1980</v>
      </c>
      <c r="X10" s="38"/>
      <c r="Y10" s="38"/>
      <c r="Z10" s="38"/>
    </row>
    <row r="11" spans="1:26" s="177" customFormat="1" ht="46" customHeight="1" x14ac:dyDescent="0.35">
      <c r="A11" s="161" t="s">
        <v>255</v>
      </c>
      <c r="B11" s="162" t="s">
        <v>256</v>
      </c>
      <c r="C11" s="162"/>
      <c r="D11" s="162"/>
      <c r="E11" s="38"/>
      <c r="F11" s="38"/>
      <c r="G11" s="195"/>
      <c r="H11" s="12"/>
      <c r="I11" s="38"/>
      <c r="J11" s="38"/>
      <c r="K11" s="38"/>
      <c r="L11" s="38"/>
      <c r="M11" s="38"/>
      <c r="N11" s="38"/>
      <c r="O11" s="38"/>
      <c r="P11" s="38"/>
      <c r="Q11" s="38"/>
      <c r="R11" s="38"/>
      <c r="S11" s="38"/>
      <c r="T11" s="38"/>
      <c r="U11" s="38" t="s">
        <v>257</v>
      </c>
      <c r="V11" s="38" t="s">
        <v>258</v>
      </c>
      <c r="W11" s="38">
        <v>16000</v>
      </c>
      <c r="X11" s="38"/>
      <c r="Y11" s="38"/>
      <c r="Z11" s="38"/>
    </row>
    <row r="12" spans="1:26" s="177" customFormat="1" ht="46" customHeight="1" x14ac:dyDescent="0.35">
      <c r="A12" s="161" t="s">
        <v>259</v>
      </c>
      <c r="B12" s="162" t="s">
        <v>260</v>
      </c>
      <c r="C12" s="162"/>
      <c r="D12" s="162"/>
      <c r="E12" s="38"/>
      <c r="F12" s="38"/>
      <c r="G12" s="195"/>
      <c r="H12" s="12"/>
      <c r="I12" s="38"/>
      <c r="J12" s="38"/>
      <c r="K12" s="38"/>
      <c r="L12" s="38"/>
      <c r="M12" s="38"/>
      <c r="N12" s="38"/>
      <c r="O12" s="38"/>
      <c r="P12" s="38"/>
      <c r="Q12" s="38"/>
      <c r="R12" s="38"/>
      <c r="S12" s="38"/>
      <c r="T12" s="38"/>
      <c r="U12" s="38" t="s">
        <v>261</v>
      </c>
      <c r="V12" s="38" t="s">
        <v>262</v>
      </c>
      <c r="W12" s="38">
        <v>6000</v>
      </c>
      <c r="X12" s="38"/>
      <c r="Y12" s="38"/>
      <c r="Z12" s="38"/>
    </row>
    <row r="13" spans="1:26" ht="20" x14ac:dyDescent="0.35">
      <c r="A13" s="5"/>
      <c r="B13" s="6"/>
      <c r="C13" s="6"/>
      <c r="D13" s="21"/>
      <c r="E13" s="2"/>
      <c r="F13" s="39"/>
      <c r="G13" s="2"/>
      <c r="H13" s="12"/>
      <c r="I13" s="2"/>
      <c r="J13" s="2"/>
      <c r="K13" s="81"/>
      <c r="L13" s="12"/>
      <c r="M13" s="2"/>
      <c r="N13" s="2"/>
      <c r="O13" s="2"/>
      <c r="P13" s="12"/>
      <c r="Q13" s="81"/>
      <c r="R13" s="81"/>
      <c r="S13" s="82"/>
      <c r="T13" s="12"/>
      <c r="U13" s="2"/>
      <c r="V13" s="2"/>
      <c r="W13" s="52">
        <f>W9+W10+W11+W12</f>
        <v>30680</v>
      </c>
      <c r="X13" s="2"/>
      <c r="Y13" s="2"/>
      <c r="Z13" s="2"/>
    </row>
    <row r="14" spans="1:26" ht="15.5" x14ac:dyDescent="0.35">
      <c r="A14" s="221" t="s">
        <v>34</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3"/>
    </row>
    <row r="15" spans="1:26" ht="139.5" x14ac:dyDescent="0.35">
      <c r="A15" s="2" t="s">
        <v>100</v>
      </c>
      <c r="B15" s="2" t="s">
        <v>35</v>
      </c>
      <c r="C15" s="2" t="s">
        <v>36</v>
      </c>
      <c r="D15" s="12"/>
      <c r="E15" s="9"/>
      <c r="F15" s="9"/>
      <c r="G15" s="9"/>
      <c r="H15" s="12"/>
      <c r="I15" s="197"/>
      <c r="J15" s="143"/>
      <c r="K15" s="143"/>
      <c r="L15" s="12"/>
      <c r="M15" s="2"/>
      <c r="N15" s="2"/>
      <c r="O15" s="2"/>
      <c r="P15" s="12"/>
      <c r="Q15" s="81"/>
      <c r="R15" s="88"/>
      <c r="S15" s="81"/>
      <c r="T15" s="12"/>
      <c r="U15" s="2" t="s">
        <v>99</v>
      </c>
      <c r="V15" s="2" t="s">
        <v>37</v>
      </c>
      <c r="W15" s="1">
        <v>2000</v>
      </c>
      <c r="X15" s="2">
        <v>0</v>
      </c>
      <c r="Y15" s="2" t="s">
        <v>38</v>
      </c>
      <c r="Z15" s="2" t="s">
        <v>33</v>
      </c>
    </row>
    <row r="16" spans="1:26" ht="124" x14ac:dyDescent="0.35">
      <c r="A16" s="2" t="s">
        <v>318</v>
      </c>
      <c r="B16" s="2" t="s">
        <v>39</v>
      </c>
      <c r="C16" s="2" t="s">
        <v>36</v>
      </c>
      <c r="D16" s="12"/>
      <c r="E16" s="9"/>
      <c r="F16" s="9"/>
      <c r="G16" s="9"/>
      <c r="H16" s="12"/>
      <c r="I16" s="196"/>
      <c r="J16" s="9"/>
      <c r="K16" s="9"/>
      <c r="L16" s="9"/>
      <c r="M16" s="198"/>
      <c r="N16" s="143"/>
      <c r="O16" s="81"/>
      <c r="P16" s="12"/>
      <c r="Q16" s="2"/>
      <c r="R16" s="2"/>
      <c r="S16" s="2"/>
      <c r="T16" s="12"/>
      <c r="U16" s="2" t="s">
        <v>101</v>
      </c>
      <c r="V16" s="2" t="s">
        <v>37</v>
      </c>
      <c r="W16" s="1">
        <v>2000</v>
      </c>
      <c r="X16" s="2">
        <v>0</v>
      </c>
      <c r="Y16" s="2" t="s">
        <v>38</v>
      </c>
      <c r="Z16" s="2" t="s">
        <v>33</v>
      </c>
    </row>
    <row r="17" spans="1:28" ht="217" x14ac:dyDescent="0.35">
      <c r="A17" s="2" t="s">
        <v>274</v>
      </c>
      <c r="B17" s="2" t="s">
        <v>40</v>
      </c>
      <c r="C17" s="2" t="s">
        <v>36</v>
      </c>
      <c r="D17" s="12"/>
      <c r="E17" s="38"/>
      <c r="F17" s="39"/>
      <c r="G17" s="9"/>
      <c r="H17" s="12"/>
      <c r="I17" s="9"/>
      <c r="J17" s="200"/>
      <c r="K17" s="143"/>
      <c r="L17" s="24"/>
      <c r="M17" s="2"/>
      <c r="N17" s="2"/>
      <c r="O17" s="157"/>
      <c r="P17" s="23"/>
      <c r="Q17" s="143"/>
      <c r="R17" s="143"/>
      <c r="S17" s="143"/>
      <c r="T17" s="24"/>
      <c r="U17" s="2" t="s">
        <v>297</v>
      </c>
      <c r="V17" s="2" t="s">
        <v>41</v>
      </c>
      <c r="W17" s="1">
        <v>26000</v>
      </c>
      <c r="X17" s="2">
        <v>0</v>
      </c>
      <c r="Y17" s="2"/>
      <c r="Z17" s="2"/>
      <c r="AB17" s="10">
        <f>105000*601</f>
        <v>63105000</v>
      </c>
    </row>
    <row r="18" spans="1:28" ht="20" x14ac:dyDescent="0.35">
      <c r="A18" s="5"/>
      <c r="B18" s="6"/>
      <c r="C18" s="6"/>
      <c r="D18" s="21"/>
      <c r="E18" s="6"/>
      <c r="F18" s="50"/>
      <c r="G18" s="6"/>
      <c r="H18" s="21"/>
      <c r="I18" s="6"/>
      <c r="J18" s="6"/>
      <c r="K18" s="81"/>
      <c r="L18" s="24"/>
      <c r="M18" s="6"/>
      <c r="N18" s="6"/>
      <c r="O18" s="6"/>
      <c r="P18" s="21"/>
      <c r="Q18" s="81"/>
      <c r="R18" s="81"/>
      <c r="S18" s="82"/>
      <c r="T18" s="21"/>
      <c r="U18" s="6"/>
      <c r="V18" s="6"/>
      <c r="W18" s="51">
        <f>W15+W16+W17</f>
        <v>30000</v>
      </c>
      <c r="X18" s="6"/>
      <c r="Y18" s="6"/>
      <c r="Z18" s="25"/>
    </row>
    <row r="19" spans="1:28" ht="15.5" x14ac:dyDescent="0.35">
      <c r="A19" s="242" t="s">
        <v>42</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4"/>
    </row>
    <row r="20" spans="1:28" ht="67" customHeight="1" x14ac:dyDescent="0.35">
      <c r="A20" s="3" t="s">
        <v>275</v>
      </c>
      <c r="B20" s="1" t="s">
        <v>102</v>
      </c>
      <c r="C20" s="7" t="s">
        <v>36</v>
      </c>
      <c r="D20" s="13"/>
      <c r="E20" s="39"/>
      <c r="F20" s="39"/>
      <c r="G20" s="39"/>
      <c r="H20" s="13"/>
      <c r="I20" s="199"/>
      <c r="J20" s="39"/>
      <c r="K20" s="39"/>
      <c r="L20" s="13"/>
      <c r="M20" s="39"/>
      <c r="N20" s="39"/>
      <c r="O20" s="39"/>
      <c r="P20" s="13"/>
      <c r="Q20" s="39"/>
      <c r="R20" s="39"/>
      <c r="S20" s="39"/>
      <c r="T20" s="13"/>
      <c r="U20" s="1" t="s">
        <v>43</v>
      </c>
      <c r="V20" s="1" t="s">
        <v>103</v>
      </c>
      <c r="W20" s="1">
        <v>5000</v>
      </c>
      <c r="X20" s="14"/>
      <c r="Y20" s="1" t="s">
        <v>38</v>
      </c>
      <c r="Z20" s="15" t="s">
        <v>33</v>
      </c>
    </row>
    <row r="21" spans="1:28" ht="20" x14ac:dyDescent="0.35">
      <c r="A21" s="3"/>
      <c r="B21" s="7"/>
      <c r="C21" s="7"/>
      <c r="D21" s="13"/>
      <c r="E21" s="83"/>
      <c r="F21" s="83"/>
      <c r="G21" s="83"/>
      <c r="H21" s="13"/>
      <c r="I21" s="83"/>
      <c r="J21" s="83"/>
      <c r="K21" s="83"/>
      <c r="L21" s="13"/>
      <c r="M21" s="83"/>
      <c r="N21" s="83"/>
      <c r="O21" s="83"/>
      <c r="P21" s="13"/>
      <c r="Q21" s="83"/>
      <c r="R21" s="83"/>
      <c r="S21" s="83"/>
      <c r="T21" s="13"/>
      <c r="U21" s="7"/>
      <c r="V21" s="7"/>
      <c r="W21" s="51">
        <f>+W20</f>
        <v>5000</v>
      </c>
      <c r="X21" s="20"/>
      <c r="Y21" s="7"/>
      <c r="Z21" s="15"/>
    </row>
    <row r="22" spans="1:28" ht="15" x14ac:dyDescent="0.35">
      <c r="A22" s="245" t="s">
        <v>44</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7"/>
    </row>
    <row r="23" spans="1:28" ht="15.5" x14ac:dyDescent="0.35">
      <c r="A23" s="221" t="s">
        <v>45</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3"/>
    </row>
    <row r="24" spans="1:28" ht="31" x14ac:dyDescent="0.35">
      <c r="A24" s="2" t="s">
        <v>104</v>
      </c>
      <c r="B24" s="4" t="s">
        <v>46</v>
      </c>
      <c r="C24" s="1" t="s">
        <v>36</v>
      </c>
      <c r="D24" s="12"/>
      <c r="E24" s="199"/>
      <c r="F24" s="199"/>
      <c r="G24" s="199"/>
      <c r="H24" s="12"/>
      <c r="I24" s="199"/>
      <c r="J24" s="199"/>
      <c r="K24" s="199"/>
      <c r="L24" s="12"/>
      <c r="M24" s="39"/>
      <c r="N24" s="39"/>
      <c r="O24" s="39"/>
      <c r="P24" s="12"/>
      <c r="Q24" s="39"/>
      <c r="R24" s="39"/>
      <c r="S24" s="39"/>
      <c r="T24" s="12"/>
      <c r="U24" s="1" t="s">
        <v>105</v>
      </c>
      <c r="V24" s="2" t="s">
        <v>47</v>
      </c>
      <c r="W24" s="14">
        <f>2451400*6/600</f>
        <v>24514</v>
      </c>
      <c r="X24" s="14">
        <v>0</v>
      </c>
      <c r="Y24" s="2" t="s">
        <v>38</v>
      </c>
      <c r="Z24" s="16" t="s">
        <v>33</v>
      </c>
    </row>
    <row r="25" spans="1:28" ht="15.5" x14ac:dyDescent="0.35">
      <c r="A25" s="221" t="s">
        <v>48</v>
      </c>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3"/>
    </row>
    <row r="26" spans="1:28" ht="78.5" customHeight="1" x14ac:dyDescent="0.35">
      <c r="A26" s="157" t="s">
        <v>199</v>
      </c>
      <c r="B26" s="26" t="s">
        <v>203</v>
      </c>
      <c r="C26" s="1" t="s">
        <v>36</v>
      </c>
      <c r="D26" s="155"/>
      <c r="E26" s="9"/>
      <c r="F26" s="9"/>
      <c r="G26" s="196"/>
      <c r="H26" s="155"/>
      <c r="I26" s="9"/>
      <c r="J26" s="9"/>
      <c r="K26" s="9"/>
      <c r="L26" s="155"/>
      <c r="M26" s="9"/>
      <c r="N26" s="9"/>
      <c r="O26" s="9"/>
      <c r="P26" s="9"/>
      <c r="Q26" s="9"/>
      <c r="R26" s="9"/>
      <c r="S26" s="9"/>
      <c r="T26" s="9"/>
      <c r="U26" s="25" t="s">
        <v>206</v>
      </c>
      <c r="V26" s="2" t="s">
        <v>210</v>
      </c>
      <c r="W26" s="14">
        <v>1000</v>
      </c>
      <c r="X26" s="1">
        <v>0</v>
      </c>
      <c r="Y26" s="2" t="s">
        <v>38</v>
      </c>
      <c r="Z26" s="16" t="s">
        <v>33</v>
      </c>
    </row>
    <row r="27" spans="1:28" ht="78.5" customHeight="1" x14ac:dyDescent="0.35">
      <c r="A27" s="157" t="s">
        <v>200</v>
      </c>
      <c r="B27" s="26" t="s">
        <v>204</v>
      </c>
      <c r="C27" s="1" t="s">
        <v>36</v>
      </c>
      <c r="D27" s="155"/>
      <c r="E27" s="158"/>
      <c r="F27" s="9"/>
      <c r="G27" s="196"/>
      <c r="H27" s="89"/>
      <c r="I27" s="9"/>
      <c r="J27" s="9"/>
      <c r="K27" s="9"/>
      <c r="L27" s="155"/>
      <c r="M27" s="158"/>
      <c r="N27" s="9"/>
      <c r="O27" s="9"/>
      <c r="P27" s="9"/>
      <c r="Q27" s="9"/>
      <c r="R27" s="9"/>
      <c r="S27" s="9"/>
      <c r="T27" s="205"/>
      <c r="U27" s="25" t="s">
        <v>207</v>
      </c>
      <c r="V27" s="2" t="s">
        <v>211</v>
      </c>
      <c r="W27" s="14">
        <v>1500</v>
      </c>
      <c r="X27" s="1">
        <v>0</v>
      </c>
      <c r="Y27" s="2" t="s">
        <v>38</v>
      </c>
      <c r="Z27" s="16" t="s">
        <v>33</v>
      </c>
    </row>
    <row r="28" spans="1:28" ht="78.5" customHeight="1" x14ac:dyDescent="0.35">
      <c r="A28" s="157" t="s">
        <v>201</v>
      </c>
      <c r="B28" s="26" t="s">
        <v>205</v>
      </c>
      <c r="C28" s="1" t="s">
        <v>36</v>
      </c>
      <c r="D28" s="155"/>
      <c r="E28" s="9"/>
      <c r="F28" s="9"/>
      <c r="G28" s="196"/>
      <c r="H28" s="89"/>
      <c r="I28" s="158"/>
      <c r="J28" s="158"/>
      <c r="K28" s="9"/>
      <c r="L28" s="89"/>
      <c r="M28" s="158"/>
      <c r="N28" s="9"/>
      <c r="O28" s="9"/>
      <c r="P28" s="156"/>
      <c r="Q28" s="9"/>
      <c r="R28" s="158"/>
      <c r="S28" s="9"/>
      <c r="T28" s="205"/>
      <c r="U28" s="25" t="s">
        <v>212</v>
      </c>
      <c r="V28" s="2" t="s">
        <v>213</v>
      </c>
      <c r="W28" s="14">
        <v>1000</v>
      </c>
      <c r="X28" s="1">
        <v>0</v>
      </c>
      <c r="Y28" s="2" t="s">
        <v>38</v>
      </c>
      <c r="Z28" s="16" t="s">
        <v>33</v>
      </c>
    </row>
    <row r="29" spans="1:28" ht="78.5" customHeight="1" x14ac:dyDescent="0.35">
      <c r="A29" s="157" t="s">
        <v>222</v>
      </c>
      <c r="B29" s="26" t="s">
        <v>205</v>
      </c>
      <c r="C29" s="1" t="s">
        <v>36</v>
      </c>
      <c r="D29" s="155"/>
      <c r="E29" s="158"/>
      <c r="F29" s="9"/>
      <c r="G29" s="196"/>
      <c r="H29" s="155"/>
      <c r="I29" s="9"/>
      <c r="J29" s="9"/>
      <c r="K29" s="9"/>
      <c r="L29" s="89"/>
      <c r="M29" s="158"/>
      <c r="N29" s="9"/>
      <c r="O29" s="9"/>
      <c r="P29" s="158"/>
      <c r="Q29" s="9"/>
      <c r="R29" s="158"/>
      <c r="S29" s="9"/>
      <c r="T29" s="205"/>
      <c r="U29" s="25" t="s">
        <v>208</v>
      </c>
      <c r="V29" s="2" t="s">
        <v>214</v>
      </c>
      <c r="W29" s="14">
        <v>1500</v>
      </c>
      <c r="X29" s="1">
        <v>0</v>
      </c>
      <c r="Y29" s="2" t="s">
        <v>38</v>
      </c>
      <c r="Z29" s="16" t="s">
        <v>33</v>
      </c>
    </row>
    <row r="30" spans="1:28" ht="78.5" customHeight="1" x14ac:dyDescent="0.35">
      <c r="A30" s="157" t="s">
        <v>202</v>
      </c>
      <c r="B30" s="26" t="s">
        <v>205</v>
      </c>
      <c r="C30" s="1" t="s">
        <v>36</v>
      </c>
      <c r="D30" s="155"/>
      <c r="E30" s="158"/>
      <c r="F30" s="9"/>
      <c r="G30" s="196"/>
      <c r="H30" s="155"/>
      <c r="I30" s="158"/>
      <c r="J30" s="9"/>
      <c r="K30" s="9"/>
      <c r="L30" s="89"/>
      <c r="M30" s="158"/>
      <c r="N30" s="9"/>
      <c r="O30" s="158"/>
      <c r="P30" s="9"/>
      <c r="Q30" s="9"/>
      <c r="R30" s="158"/>
      <c r="S30" s="9"/>
      <c r="T30" s="158"/>
      <c r="U30" s="25" t="s">
        <v>209</v>
      </c>
      <c r="V30" s="2" t="s">
        <v>215</v>
      </c>
      <c r="W30" s="14">
        <v>500</v>
      </c>
      <c r="X30" s="1">
        <v>0</v>
      </c>
      <c r="Y30" s="2" t="s">
        <v>38</v>
      </c>
      <c r="Z30" s="16" t="s">
        <v>33</v>
      </c>
    </row>
    <row r="31" spans="1:28" ht="20" x14ac:dyDescent="0.35">
      <c r="A31" s="5"/>
      <c r="B31" s="234"/>
      <c r="C31" s="235"/>
      <c r="D31" s="235"/>
      <c r="E31" s="235"/>
      <c r="F31" s="235"/>
      <c r="G31" s="235"/>
      <c r="H31" s="235"/>
      <c r="I31" s="235"/>
      <c r="J31" s="235"/>
      <c r="K31" s="235"/>
      <c r="L31" s="235"/>
      <c r="M31" s="235"/>
      <c r="N31" s="235"/>
      <c r="O31" s="235"/>
      <c r="P31" s="235"/>
      <c r="Q31" s="235"/>
      <c r="R31" s="235"/>
      <c r="S31" s="235"/>
      <c r="T31" s="236"/>
      <c r="U31" s="25"/>
      <c r="V31" s="2"/>
      <c r="W31" s="53">
        <f>W24+W26+W27+W28+W29+W30</f>
        <v>30014</v>
      </c>
      <c r="X31" s="20"/>
      <c r="Y31" s="6"/>
      <c r="Z31" s="15"/>
    </row>
    <row r="32" spans="1:28" ht="16.25" customHeight="1" x14ac:dyDescent="0.35">
      <c r="A32" s="221" t="s">
        <v>49</v>
      </c>
      <c r="B32" s="222"/>
      <c r="C32" s="222"/>
      <c r="D32" s="237"/>
      <c r="E32" s="237"/>
      <c r="F32" s="237"/>
      <c r="G32" s="237"/>
      <c r="H32" s="237"/>
      <c r="I32" s="237"/>
      <c r="J32" s="237"/>
      <c r="K32" s="237"/>
      <c r="L32" s="237"/>
      <c r="M32" s="237"/>
      <c r="N32" s="237"/>
      <c r="O32" s="237"/>
      <c r="P32" s="237"/>
      <c r="Q32" s="237"/>
      <c r="R32" s="237"/>
      <c r="S32" s="237"/>
      <c r="T32" s="237"/>
      <c r="U32" s="222"/>
      <c r="V32" s="222"/>
      <c r="W32" s="222"/>
      <c r="X32" s="222"/>
      <c r="Y32" s="222"/>
      <c r="Z32" s="223"/>
    </row>
    <row r="33" spans="1:26" ht="49.5" customHeight="1" x14ac:dyDescent="0.35">
      <c r="A33" s="38"/>
      <c r="B33" s="2"/>
      <c r="C33" s="1"/>
      <c r="D33" s="12"/>
      <c r="E33" s="9"/>
      <c r="F33" s="9"/>
      <c r="G33" s="9"/>
      <c r="H33" s="12"/>
      <c r="I33" s="9"/>
      <c r="J33" s="9"/>
      <c r="K33" s="9"/>
      <c r="L33" s="12"/>
      <c r="M33" s="9"/>
      <c r="N33" s="9"/>
      <c r="O33" s="9"/>
      <c r="P33" s="12"/>
      <c r="Q33" s="9"/>
      <c r="R33" s="9"/>
      <c r="S33" s="9"/>
      <c r="T33" s="12"/>
      <c r="U33" s="2"/>
      <c r="V33" s="2"/>
      <c r="W33" s="53"/>
      <c r="X33" s="14"/>
      <c r="Y33" s="2"/>
      <c r="Z33" s="16"/>
    </row>
    <row r="34" spans="1:26" ht="15.5" x14ac:dyDescent="0.35">
      <c r="A34" s="238" t="s">
        <v>50</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row>
    <row r="35" spans="1:26" s="177" customFormat="1" ht="52" customHeight="1" x14ac:dyDescent="0.35">
      <c r="A35" s="9" t="s">
        <v>298</v>
      </c>
      <c r="B35" s="158" t="s">
        <v>243</v>
      </c>
      <c r="C35" s="38" t="s">
        <v>36</v>
      </c>
      <c r="D35" s="157"/>
      <c r="E35" s="196"/>
      <c r="F35" s="196"/>
      <c r="G35" s="196"/>
      <c r="H35" s="12"/>
      <c r="I35" s="196"/>
      <c r="J35" s="196"/>
      <c r="K35" s="196"/>
      <c r="L35" s="158"/>
      <c r="M35" s="9"/>
      <c r="N35" s="9"/>
      <c r="O35" s="9"/>
      <c r="P35" s="158"/>
      <c r="Q35" s="9"/>
      <c r="R35" s="9"/>
      <c r="S35" s="9"/>
      <c r="T35" s="178"/>
      <c r="U35" s="9" t="s">
        <v>242</v>
      </c>
      <c r="V35" s="9" t="s">
        <v>51</v>
      </c>
      <c r="W35" s="37">
        <v>95967</v>
      </c>
      <c r="X35" s="179"/>
      <c r="Y35" s="9" t="s">
        <v>38</v>
      </c>
      <c r="Z35" s="176" t="s">
        <v>33</v>
      </c>
    </row>
    <row r="36" spans="1:26" s="164" customFormat="1" ht="77.5" x14ac:dyDescent="0.35">
      <c r="A36" s="38" t="s">
        <v>276</v>
      </c>
      <c r="B36" s="162" t="s">
        <v>244</v>
      </c>
      <c r="C36" s="38" t="s">
        <v>36</v>
      </c>
      <c r="D36" s="161"/>
      <c r="E36" s="195"/>
      <c r="F36" s="195"/>
      <c r="G36" s="195"/>
      <c r="H36" s="12"/>
      <c r="I36" s="195"/>
      <c r="J36" s="195"/>
      <c r="K36" s="201"/>
      <c r="L36" s="162"/>
      <c r="M36" s="162"/>
      <c r="N36" s="38"/>
      <c r="O36" s="38"/>
      <c r="P36" s="162"/>
      <c r="Q36" s="38"/>
      <c r="R36" s="38"/>
      <c r="S36" s="38"/>
      <c r="T36" s="180"/>
      <c r="U36" s="38" t="s">
        <v>245</v>
      </c>
      <c r="V36" s="38" t="s">
        <v>51</v>
      </c>
      <c r="W36" s="37">
        <v>46500</v>
      </c>
      <c r="X36" s="179"/>
      <c r="Y36" s="38"/>
      <c r="Z36" s="176"/>
    </row>
    <row r="37" spans="1:26" s="27" customFormat="1" ht="20" x14ac:dyDescent="0.35">
      <c r="A37" s="3"/>
      <c r="B37" s="7"/>
      <c r="C37" s="7"/>
      <c r="D37" s="13"/>
      <c r="E37" s="79"/>
      <c r="F37" s="79"/>
      <c r="G37" s="79"/>
      <c r="H37" s="13"/>
      <c r="I37" s="79"/>
      <c r="J37" s="79"/>
      <c r="K37" s="79"/>
      <c r="L37" s="13"/>
      <c r="M37" s="79"/>
      <c r="N37" s="79"/>
      <c r="O37" s="79"/>
      <c r="P37" s="13"/>
      <c r="Q37" s="79"/>
      <c r="R37" s="79"/>
      <c r="S37" s="79"/>
      <c r="T37" s="13"/>
      <c r="U37" s="7"/>
      <c r="V37" s="7"/>
      <c r="W37" s="54">
        <f>+W35+W36</f>
        <v>142467</v>
      </c>
      <c r="X37" s="20"/>
      <c r="Y37" s="7"/>
      <c r="Z37" s="15"/>
    </row>
    <row r="38" spans="1:26" ht="15.5" x14ac:dyDescent="0.35">
      <c r="A38" s="239" t="s">
        <v>52</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1"/>
    </row>
    <row r="39" spans="1:26" s="177" customFormat="1" ht="98.5" customHeight="1" x14ac:dyDescent="0.35">
      <c r="A39" s="9" t="s">
        <v>322</v>
      </c>
      <c r="B39" s="181" t="s">
        <v>246</v>
      </c>
      <c r="C39" s="38" t="s">
        <v>36</v>
      </c>
      <c r="D39" s="159"/>
      <c r="E39" s="202"/>
      <c r="F39" s="202"/>
      <c r="G39" s="202"/>
      <c r="H39" s="12"/>
      <c r="I39" s="202"/>
      <c r="J39" s="202"/>
      <c r="K39" s="202"/>
      <c r="L39" s="159"/>
      <c r="M39" s="41"/>
      <c r="N39" s="41"/>
      <c r="O39" s="41"/>
      <c r="P39" s="159"/>
      <c r="Q39" s="41"/>
      <c r="R39" s="41"/>
      <c r="S39" s="41"/>
      <c r="T39" s="160"/>
      <c r="U39" s="9" t="s">
        <v>247</v>
      </c>
      <c r="V39" s="157" t="s">
        <v>106</v>
      </c>
      <c r="W39" s="37">
        <v>50000</v>
      </c>
      <c r="X39" s="37">
        <v>0</v>
      </c>
      <c r="Y39" s="9" t="s">
        <v>38</v>
      </c>
      <c r="Z39" s="163" t="s">
        <v>33</v>
      </c>
    </row>
    <row r="40" spans="1:26" s="177" customFormat="1" ht="98.5" customHeight="1" x14ac:dyDescent="0.35">
      <c r="A40" s="2" t="s">
        <v>323</v>
      </c>
      <c r="B40" s="8" t="s">
        <v>319</v>
      </c>
      <c r="C40" s="1" t="s">
        <v>36</v>
      </c>
      <c r="D40" s="159"/>
      <c r="E40" s="202"/>
      <c r="F40" s="202"/>
      <c r="G40" s="202"/>
      <c r="H40" s="12"/>
      <c r="I40" s="202"/>
      <c r="J40" s="202"/>
      <c r="K40" s="202"/>
      <c r="L40" s="159"/>
      <c r="M40" s="159"/>
      <c r="N40" s="280"/>
      <c r="O40" s="280"/>
      <c r="P40" s="159"/>
      <c r="Q40" s="280"/>
      <c r="R40" s="41"/>
      <c r="S40" s="41"/>
      <c r="T40" s="159"/>
      <c r="U40" s="2" t="s">
        <v>320</v>
      </c>
      <c r="V40" s="5" t="s">
        <v>321</v>
      </c>
      <c r="W40" s="14">
        <v>10000</v>
      </c>
      <c r="X40" s="14">
        <v>0</v>
      </c>
      <c r="Y40" s="2" t="s">
        <v>38</v>
      </c>
      <c r="Z40" s="15" t="s">
        <v>33</v>
      </c>
    </row>
    <row r="41" spans="1:26" s="177" customFormat="1" ht="46.5" x14ac:dyDescent="0.35">
      <c r="A41" s="9" t="s">
        <v>277</v>
      </c>
      <c r="B41" s="181" t="s">
        <v>116</v>
      </c>
      <c r="C41" s="38" t="s">
        <v>36</v>
      </c>
      <c r="D41" s="157"/>
      <c r="E41" s="202"/>
      <c r="F41" s="202"/>
      <c r="G41" s="202"/>
      <c r="H41" s="12"/>
      <c r="I41" s="202"/>
      <c r="J41" s="202"/>
      <c r="K41" s="202"/>
      <c r="L41" s="159"/>
      <c r="M41" s="159"/>
      <c r="N41" s="157"/>
      <c r="O41" s="157"/>
      <c r="P41" s="157"/>
      <c r="Q41" s="157"/>
      <c r="R41" s="9"/>
      <c r="S41" s="9"/>
      <c r="T41" s="159"/>
      <c r="U41" s="158" t="s">
        <v>248</v>
      </c>
      <c r="V41" s="157"/>
      <c r="W41" s="37">
        <v>50408</v>
      </c>
      <c r="X41" s="37">
        <v>11734</v>
      </c>
      <c r="Y41" s="9"/>
      <c r="Z41" s="163"/>
    </row>
    <row r="42" spans="1:26" s="93" customFormat="1" ht="20" x14ac:dyDescent="0.35">
      <c r="A42" s="87"/>
      <c r="B42" s="84"/>
      <c r="C42" s="84"/>
      <c r="D42" s="84"/>
      <c r="E42" s="82"/>
      <c r="F42" s="82"/>
      <c r="G42" s="82"/>
      <c r="H42" s="84"/>
      <c r="I42" s="79"/>
      <c r="J42" s="79"/>
      <c r="K42" s="79"/>
      <c r="L42" s="86"/>
      <c r="M42" s="79"/>
      <c r="N42" s="79"/>
      <c r="O42" s="79"/>
      <c r="P42" s="84"/>
      <c r="Q42" s="82"/>
      <c r="R42" s="82"/>
      <c r="S42" s="82"/>
      <c r="T42" s="84"/>
      <c r="U42" s="84"/>
      <c r="V42" s="84"/>
      <c r="W42" s="90">
        <f>W39+W40+W41</f>
        <v>110408</v>
      </c>
      <c r="X42" s="91"/>
      <c r="Y42" s="84"/>
      <c r="Z42" s="92"/>
    </row>
    <row r="43" spans="1:26" ht="15.5" x14ac:dyDescent="0.35">
      <c r="A43" s="239" t="s">
        <v>53</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1"/>
    </row>
    <row r="44" spans="1:26" ht="15.5" x14ac:dyDescent="0.35">
      <c r="A44" s="239" t="s">
        <v>54</v>
      </c>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1"/>
    </row>
    <row r="45" spans="1:26" ht="20" x14ac:dyDescent="0.35">
      <c r="A45" s="5"/>
      <c r="B45" s="26"/>
      <c r="C45" s="7"/>
      <c r="D45" s="18"/>
      <c r="E45" s="17"/>
      <c r="F45" s="17"/>
      <c r="G45" s="17"/>
      <c r="H45" s="18"/>
      <c r="I45" s="41"/>
      <c r="J45" s="41"/>
      <c r="K45" s="41"/>
      <c r="L45" s="18"/>
      <c r="M45" s="41"/>
      <c r="N45" s="41"/>
      <c r="O45" s="18"/>
      <c r="P45" s="18"/>
      <c r="Q45" s="18"/>
      <c r="R45" s="85"/>
      <c r="S45" s="85"/>
      <c r="T45" s="18"/>
      <c r="U45" s="6"/>
      <c r="V45" s="6"/>
      <c r="W45" s="54"/>
      <c r="X45" s="20"/>
      <c r="Y45" s="6"/>
      <c r="Z45" s="15"/>
    </row>
    <row r="46" spans="1:26" ht="15" x14ac:dyDescent="0.35">
      <c r="A46" s="245" t="s">
        <v>55</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7"/>
    </row>
    <row r="47" spans="1:26" ht="60" customHeight="1" x14ac:dyDescent="0.35">
      <c r="A47" s="33" t="s">
        <v>56</v>
      </c>
      <c r="B47" s="34"/>
      <c r="C47" s="34"/>
      <c r="D47" s="34"/>
      <c r="E47" s="34"/>
      <c r="F47" s="34"/>
      <c r="G47" s="34"/>
      <c r="H47" s="34"/>
      <c r="I47" s="34"/>
      <c r="J47" s="34"/>
      <c r="K47" s="34"/>
      <c r="L47" s="34"/>
      <c r="M47" s="34"/>
      <c r="N47" s="34"/>
      <c r="O47" s="34"/>
      <c r="P47" s="34"/>
      <c r="Q47" s="34"/>
      <c r="R47" s="34"/>
      <c r="S47" s="34"/>
      <c r="T47" s="34"/>
      <c r="U47" s="34"/>
      <c r="V47" s="34"/>
      <c r="W47" s="34"/>
      <c r="X47" s="149"/>
      <c r="Y47" s="34"/>
      <c r="Z47" s="35"/>
    </row>
    <row r="48" spans="1:26" ht="72" customHeight="1" x14ac:dyDescent="0.35">
      <c r="A48" s="9" t="s">
        <v>216</v>
      </c>
      <c r="B48" s="8" t="s">
        <v>197</v>
      </c>
      <c r="C48" s="1" t="s">
        <v>36</v>
      </c>
      <c r="D48" s="22"/>
      <c r="E48" s="202"/>
      <c r="F48" s="202"/>
      <c r="G48" s="202"/>
      <c r="H48" s="12"/>
      <c r="I48" s="202"/>
      <c r="J48" s="202"/>
      <c r="K48" s="202"/>
      <c r="L48" s="22"/>
      <c r="M48" s="41"/>
      <c r="N48" s="41"/>
      <c r="O48" s="41"/>
      <c r="P48" s="22"/>
      <c r="Q48" s="41"/>
      <c r="R48" s="41"/>
      <c r="S48" s="41"/>
      <c r="T48" s="22"/>
      <c r="U48" s="2" t="s">
        <v>198</v>
      </c>
      <c r="V48" s="5" t="s">
        <v>64</v>
      </c>
      <c r="W48" s="14">
        <v>2500</v>
      </c>
      <c r="X48" s="14">
        <v>0</v>
      </c>
      <c r="Y48" s="2" t="s">
        <v>38</v>
      </c>
      <c r="Z48" s="15" t="s">
        <v>33</v>
      </c>
    </row>
    <row r="49" spans="1:26" ht="77.5" x14ac:dyDescent="0.35">
      <c r="A49" s="5" t="s">
        <v>278</v>
      </c>
      <c r="B49" s="4" t="s">
        <v>98</v>
      </c>
      <c r="C49" s="1" t="s">
        <v>36</v>
      </c>
      <c r="D49" s="22"/>
      <c r="E49" s="202"/>
      <c r="F49" s="202"/>
      <c r="G49" s="202"/>
      <c r="H49" s="12"/>
      <c r="I49" s="202"/>
      <c r="J49" s="202"/>
      <c r="K49" s="202"/>
      <c r="L49" s="22"/>
      <c r="M49" s="41"/>
      <c r="N49" s="41"/>
      <c r="O49" s="41"/>
      <c r="P49" s="22"/>
      <c r="Q49" s="41"/>
      <c r="R49" s="41"/>
      <c r="S49" s="41"/>
      <c r="T49" s="22"/>
      <c r="U49" s="6" t="s">
        <v>57</v>
      </c>
      <c r="V49" s="6" t="s">
        <v>58</v>
      </c>
      <c r="W49" s="14">
        <v>2000</v>
      </c>
      <c r="X49" s="183">
        <v>13980</v>
      </c>
      <c r="Y49" s="2" t="s">
        <v>38</v>
      </c>
      <c r="Z49" s="15" t="s">
        <v>33</v>
      </c>
    </row>
    <row r="50" spans="1:26" s="177" customFormat="1" ht="77.5" x14ac:dyDescent="0.35">
      <c r="A50" s="157" t="s">
        <v>279</v>
      </c>
      <c r="B50" s="166" t="s">
        <v>249</v>
      </c>
      <c r="C50" s="38" t="s">
        <v>36</v>
      </c>
      <c r="D50" s="41"/>
      <c r="E50" s="202"/>
      <c r="F50" s="202"/>
      <c r="G50" s="202"/>
      <c r="H50" s="12"/>
      <c r="I50" s="202"/>
      <c r="J50" s="202"/>
      <c r="K50" s="202"/>
      <c r="L50" s="41"/>
      <c r="M50" s="41"/>
      <c r="N50" s="41"/>
      <c r="O50" s="41"/>
      <c r="P50" s="41"/>
      <c r="Q50" s="41"/>
      <c r="R50" s="41"/>
      <c r="S50" s="41"/>
      <c r="T50" s="41"/>
      <c r="U50" s="9" t="s">
        <v>59</v>
      </c>
      <c r="V50" s="9" t="s">
        <v>107</v>
      </c>
      <c r="W50" s="37">
        <v>2000</v>
      </c>
      <c r="X50" s="37">
        <v>0</v>
      </c>
      <c r="Y50" s="9" t="s">
        <v>38</v>
      </c>
      <c r="Z50" s="176" t="s">
        <v>33</v>
      </c>
    </row>
    <row r="51" spans="1:26" s="177" customFormat="1" ht="62" x14ac:dyDescent="0.35">
      <c r="A51" s="190" t="s">
        <v>296</v>
      </c>
      <c r="B51" s="38" t="s">
        <v>62</v>
      </c>
      <c r="C51" s="191" t="s">
        <v>36</v>
      </c>
      <c r="D51" s="192"/>
      <c r="E51" s="202"/>
      <c r="F51" s="202"/>
      <c r="G51" s="202"/>
      <c r="H51" s="12"/>
      <c r="I51" s="202"/>
      <c r="J51" s="202"/>
      <c r="K51" s="202"/>
      <c r="L51" s="193"/>
      <c r="M51" s="41"/>
      <c r="N51" s="41"/>
      <c r="O51" s="41"/>
      <c r="P51" s="193"/>
      <c r="Q51" s="41"/>
      <c r="R51" s="41"/>
      <c r="S51" s="41"/>
      <c r="T51" s="193"/>
      <c r="U51" s="38" t="s">
        <v>225</v>
      </c>
      <c r="V51" s="9" t="s">
        <v>226</v>
      </c>
      <c r="W51" s="37">
        <v>81000</v>
      </c>
      <c r="X51" s="37">
        <v>0</v>
      </c>
      <c r="Y51" s="38" t="s">
        <v>38</v>
      </c>
      <c r="Z51" s="163" t="s">
        <v>33</v>
      </c>
    </row>
    <row r="52" spans="1:26" s="177" customFormat="1" ht="62" x14ac:dyDescent="0.35">
      <c r="A52" s="190" t="s">
        <v>280</v>
      </c>
      <c r="B52" s="194" t="s">
        <v>62</v>
      </c>
      <c r="C52" s="191" t="s">
        <v>36</v>
      </c>
      <c r="D52" s="193"/>
      <c r="E52" s="202"/>
      <c r="F52" s="202"/>
      <c r="G52" s="202"/>
      <c r="H52" s="12"/>
      <c r="I52" s="41"/>
      <c r="J52" s="41"/>
      <c r="K52" s="41"/>
      <c r="L52" s="193"/>
      <c r="M52" s="41"/>
      <c r="N52" s="41"/>
      <c r="O52" s="41"/>
      <c r="P52" s="193"/>
      <c r="Q52" s="41"/>
      <c r="R52" s="41"/>
      <c r="S52" s="41"/>
      <c r="T52" s="193"/>
      <c r="U52" s="9" t="s">
        <v>231</v>
      </c>
      <c r="V52" s="9" t="s">
        <v>232</v>
      </c>
      <c r="W52" s="37">
        <v>400229</v>
      </c>
      <c r="X52" s="179">
        <v>0</v>
      </c>
      <c r="Y52" s="9" t="s">
        <v>38</v>
      </c>
      <c r="Z52" s="163" t="s">
        <v>33</v>
      </c>
    </row>
    <row r="53" spans="1:26" s="177" customFormat="1" ht="62" x14ac:dyDescent="0.35">
      <c r="A53" s="38" t="s">
        <v>281</v>
      </c>
      <c r="B53" s="38" t="s">
        <v>235</v>
      </c>
      <c r="C53" s="38" t="s">
        <v>36</v>
      </c>
      <c r="D53" s="192"/>
      <c r="E53" s="202"/>
      <c r="F53" s="202"/>
      <c r="G53" s="202"/>
      <c r="H53" s="12"/>
      <c r="I53" s="41"/>
      <c r="J53" s="41"/>
      <c r="K53" s="41"/>
      <c r="L53" s="38"/>
      <c r="M53" s="38"/>
      <c r="N53" s="38"/>
      <c r="O53" s="38"/>
      <c r="P53" s="38"/>
      <c r="Q53" s="38"/>
      <c r="R53" s="38"/>
      <c r="S53" s="38"/>
      <c r="T53" s="38"/>
      <c r="U53" s="38" t="s">
        <v>236</v>
      </c>
      <c r="V53" s="38" t="s">
        <v>237</v>
      </c>
      <c r="W53" s="37">
        <v>207113</v>
      </c>
      <c r="X53" s="37"/>
      <c r="Y53" s="38" t="s">
        <v>38</v>
      </c>
      <c r="Z53" s="176" t="s">
        <v>33</v>
      </c>
    </row>
    <row r="54" spans="1:26" s="177" customFormat="1" ht="62" x14ac:dyDescent="0.35">
      <c r="A54" s="38" t="s">
        <v>282</v>
      </c>
      <c r="B54" s="38" t="s">
        <v>235</v>
      </c>
      <c r="C54" s="191" t="s">
        <v>36</v>
      </c>
      <c r="D54" s="192"/>
      <c r="E54" s="202"/>
      <c r="F54" s="202"/>
      <c r="G54" s="41"/>
      <c r="H54" s="12"/>
      <c r="I54" s="41"/>
      <c r="J54" s="41"/>
      <c r="K54" s="41"/>
      <c r="L54" s="38"/>
      <c r="M54" s="38"/>
      <c r="N54" s="38"/>
      <c r="O54" s="38"/>
      <c r="P54" s="38"/>
      <c r="Q54" s="38"/>
      <c r="R54" s="38"/>
      <c r="S54" s="38"/>
      <c r="T54" s="38"/>
      <c r="U54" s="38" t="s">
        <v>229</v>
      </c>
      <c r="V54" s="38" t="s">
        <v>230</v>
      </c>
      <c r="W54" s="37">
        <v>53312</v>
      </c>
      <c r="X54" s="37"/>
      <c r="Y54" s="38"/>
      <c r="Z54" s="176"/>
    </row>
    <row r="55" spans="1:26" s="177" customFormat="1" ht="62" x14ac:dyDescent="0.35">
      <c r="A55" s="38" t="s">
        <v>283</v>
      </c>
      <c r="B55" s="38" t="s">
        <v>227</v>
      </c>
      <c r="C55" s="191" t="s">
        <v>36</v>
      </c>
      <c r="D55" s="193"/>
      <c r="E55" s="202"/>
      <c r="F55" s="41"/>
      <c r="G55" s="41"/>
      <c r="H55" s="12"/>
      <c r="I55" s="41"/>
      <c r="J55" s="41"/>
      <c r="K55" s="41"/>
      <c r="L55" s="193"/>
      <c r="M55" s="41"/>
      <c r="N55" s="41"/>
      <c r="O55" s="41"/>
      <c r="P55" s="193"/>
      <c r="Q55" s="41"/>
      <c r="R55" s="41"/>
      <c r="S55" s="41"/>
      <c r="T55" s="193"/>
      <c r="U55" s="38" t="s">
        <v>233</v>
      </c>
      <c r="V55" s="38" t="s">
        <v>234</v>
      </c>
      <c r="W55" s="37">
        <v>41660</v>
      </c>
      <c r="X55" s="37"/>
      <c r="Y55" s="38"/>
      <c r="Z55" s="163"/>
    </row>
    <row r="56" spans="1:26" s="177" customFormat="1" ht="62" x14ac:dyDescent="0.35">
      <c r="A56" s="190" t="s">
        <v>284</v>
      </c>
      <c r="B56" s="38" t="s">
        <v>62</v>
      </c>
      <c r="C56" s="191" t="s">
        <v>36</v>
      </c>
      <c r="D56" s="192"/>
      <c r="E56" s="202"/>
      <c r="F56" s="202"/>
      <c r="G56" s="202"/>
      <c r="H56" s="12"/>
      <c r="I56" s="41"/>
      <c r="J56" s="41"/>
      <c r="K56" s="41"/>
      <c r="L56" s="193"/>
      <c r="M56" s="41"/>
      <c r="N56" s="41"/>
      <c r="O56" s="41"/>
      <c r="P56" s="193"/>
      <c r="Q56" s="41"/>
      <c r="R56" s="41"/>
      <c r="S56" s="41"/>
      <c r="T56" s="193"/>
      <c r="U56" s="38" t="s">
        <v>225</v>
      </c>
      <c r="V56" s="9" t="s">
        <v>226</v>
      </c>
      <c r="W56" s="37">
        <v>134887</v>
      </c>
      <c r="X56" s="37">
        <v>0</v>
      </c>
      <c r="Y56" s="38" t="s">
        <v>38</v>
      </c>
      <c r="Z56" s="163" t="s">
        <v>33</v>
      </c>
    </row>
    <row r="57" spans="1:26" ht="46.5" x14ac:dyDescent="0.35">
      <c r="A57" s="1" t="s">
        <v>285</v>
      </c>
      <c r="B57" s="1" t="s">
        <v>238</v>
      </c>
      <c r="C57" s="1"/>
      <c r="D57" s="95"/>
      <c r="E57" s="202"/>
      <c r="F57" s="202"/>
      <c r="G57" s="41"/>
      <c r="H57" s="12"/>
      <c r="I57" s="41"/>
      <c r="J57" s="41"/>
      <c r="K57" s="41"/>
      <c r="L57" s="80"/>
      <c r="M57" s="38"/>
      <c r="N57" s="38"/>
      <c r="O57" s="38"/>
      <c r="P57" s="80"/>
      <c r="Q57" s="79"/>
      <c r="R57" s="79"/>
      <c r="S57" s="79"/>
      <c r="T57" s="11"/>
      <c r="U57" s="1" t="s">
        <v>221</v>
      </c>
      <c r="V57" s="1" t="s">
        <v>64</v>
      </c>
      <c r="W57" s="14">
        <v>39328</v>
      </c>
      <c r="X57" s="14"/>
      <c r="Y57" s="1" t="s">
        <v>38</v>
      </c>
      <c r="Z57" s="16" t="s">
        <v>33</v>
      </c>
    </row>
    <row r="58" spans="1:26" ht="46.5" x14ac:dyDescent="0.35">
      <c r="A58" s="1" t="s">
        <v>286</v>
      </c>
      <c r="B58" s="1" t="s">
        <v>228</v>
      </c>
      <c r="C58" s="1" t="s">
        <v>36</v>
      </c>
      <c r="D58" s="95"/>
      <c r="E58" s="202"/>
      <c r="F58" s="202"/>
      <c r="G58" s="202"/>
      <c r="H58" s="12"/>
      <c r="I58" s="41"/>
      <c r="J58" s="41"/>
      <c r="K58" s="41"/>
      <c r="L58" s="80"/>
      <c r="M58" s="38"/>
      <c r="N58" s="38"/>
      <c r="O58" s="38"/>
      <c r="P58" s="80"/>
      <c r="Q58" s="79"/>
      <c r="R58" s="79"/>
      <c r="S58" s="79"/>
      <c r="T58" s="11"/>
      <c r="U58" s="1" t="s">
        <v>117</v>
      </c>
      <c r="V58" s="1" t="s">
        <v>118</v>
      </c>
      <c r="W58" s="14">
        <v>56555</v>
      </c>
      <c r="X58" s="14"/>
      <c r="Y58" s="1"/>
      <c r="Z58" s="16"/>
    </row>
    <row r="59" spans="1:26" ht="20" x14ac:dyDescent="0.35">
      <c r="A59" s="42"/>
      <c r="B59" s="40"/>
      <c r="C59" s="43"/>
      <c r="D59" s="44"/>
      <c r="E59" s="44"/>
      <c r="F59" s="44"/>
      <c r="G59" s="44"/>
      <c r="H59" s="44"/>
      <c r="I59" s="44"/>
      <c r="J59" s="44"/>
      <c r="K59" s="44"/>
      <c r="L59" s="44"/>
      <c r="M59" s="44"/>
      <c r="N59" s="44"/>
      <c r="O59" s="44"/>
      <c r="P59" s="44"/>
      <c r="Q59" s="44"/>
      <c r="R59" s="44"/>
      <c r="S59" s="44"/>
      <c r="T59" s="44"/>
      <c r="U59" s="42"/>
      <c r="V59" s="42"/>
      <c r="W59" s="55">
        <f>W48+W49+W50+W51+W52+W53+W54+W55+W56+W57+W58</f>
        <v>1020584</v>
      </c>
      <c r="X59" s="45"/>
      <c r="Y59" s="42"/>
      <c r="Z59" s="46"/>
    </row>
    <row r="60" spans="1:26" ht="15" x14ac:dyDescent="0.35">
      <c r="A60" s="231" t="s">
        <v>60</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3"/>
    </row>
    <row r="61" spans="1:26" ht="15.5" x14ac:dyDescent="0.35">
      <c r="A61" s="184" t="s">
        <v>61</v>
      </c>
      <c r="B61" s="185"/>
      <c r="C61" s="185"/>
      <c r="D61" s="185"/>
      <c r="E61" s="185"/>
      <c r="F61" s="185"/>
      <c r="G61" s="185"/>
      <c r="H61" s="185"/>
      <c r="I61" s="185"/>
      <c r="J61" s="185"/>
      <c r="K61" s="185"/>
      <c r="L61" s="185"/>
      <c r="M61" s="185"/>
      <c r="N61" s="185"/>
      <c r="O61" s="185"/>
      <c r="P61" s="185"/>
      <c r="Q61" s="185"/>
      <c r="R61" s="185"/>
      <c r="S61" s="185"/>
      <c r="T61" s="185"/>
      <c r="U61" s="185"/>
      <c r="V61" s="185"/>
      <c r="W61" s="185"/>
      <c r="X61" s="37">
        <v>600000</v>
      </c>
      <c r="Y61" s="185"/>
      <c r="Z61" s="186"/>
    </row>
    <row r="62" spans="1:26" s="177" customFormat="1" ht="31" x14ac:dyDescent="0.35">
      <c r="A62" s="9" t="s">
        <v>287</v>
      </c>
      <c r="B62" s="9" t="s">
        <v>65</v>
      </c>
      <c r="C62" s="38" t="s">
        <v>63</v>
      </c>
      <c r="D62" s="157"/>
      <c r="E62" s="9"/>
      <c r="F62" s="202"/>
      <c r="G62" s="202"/>
      <c r="H62" s="12"/>
      <c r="I62" s="202"/>
      <c r="J62" s="202"/>
      <c r="K62" s="202"/>
      <c r="L62" s="158"/>
      <c r="M62" s="9"/>
      <c r="N62" s="9"/>
      <c r="O62" s="9"/>
      <c r="P62" s="158"/>
      <c r="Q62" s="9"/>
      <c r="R62" s="9"/>
      <c r="S62" s="9"/>
      <c r="T62" s="178"/>
      <c r="U62" s="9" t="s">
        <v>66</v>
      </c>
      <c r="V62" s="9"/>
      <c r="W62" s="37">
        <v>5000</v>
      </c>
      <c r="X62" s="37"/>
      <c r="Y62" s="9"/>
      <c r="Z62" s="163"/>
    </row>
    <row r="63" spans="1:26" ht="77.5" x14ac:dyDescent="0.35">
      <c r="A63" s="5" t="s">
        <v>288</v>
      </c>
      <c r="B63" s="6"/>
      <c r="C63" s="1"/>
      <c r="D63" s="21"/>
      <c r="E63" s="9"/>
      <c r="F63" s="202"/>
      <c r="G63" s="202"/>
      <c r="H63" s="12"/>
      <c r="I63" s="202"/>
      <c r="J63" s="202"/>
      <c r="K63" s="202"/>
      <c r="L63" s="21"/>
      <c r="M63" s="9"/>
      <c r="N63" s="9"/>
      <c r="O63" s="9"/>
      <c r="P63" s="21"/>
      <c r="Q63" s="9"/>
      <c r="R63" s="9"/>
      <c r="S63" s="9"/>
      <c r="T63" s="21"/>
      <c r="U63" s="6" t="s">
        <v>196</v>
      </c>
      <c r="V63" s="6"/>
      <c r="W63" s="20">
        <v>5000</v>
      </c>
      <c r="X63" s="20"/>
      <c r="Y63" s="6"/>
      <c r="Z63" s="15"/>
    </row>
    <row r="64" spans="1:26" s="177" customFormat="1" ht="50" customHeight="1" x14ac:dyDescent="0.35">
      <c r="A64" s="161" t="s">
        <v>300</v>
      </c>
      <c r="B64" s="162" t="s">
        <v>301</v>
      </c>
      <c r="C64" s="38" t="s">
        <v>36</v>
      </c>
      <c r="D64" s="206"/>
      <c r="E64" s="38"/>
      <c r="F64" s="38"/>
      <c r="G64" s="195"/>
      <c r="H64" s="9"/>
      <c r="I64" s="195"/>
      <c r="J64" s="38"/>
      <c r="K64" s="38"/>
      <c r="L64" s="206"/>
      <c r="M64" s="38"/>
      <c r="N64" s="38"/>
      <c r="O64" s="38"/>
      <c r="P64" s="206"/>
      <c r="Q64" s="38"/>
      <c r="R64" s="38"/>
      <c r="S64" s="38"/>
      <c r="T64" s="206"/>
      <c r="U64" s="162"/>
      <c r="V64" s="162"/>
      <c r="W64" s="207">
        <f>11500</f>
        <v>11500</v>
      </c>
      <c r="X64" s="162"/>
      <c r="Y64" s="162"/>
      <c r="Z64" s="180"/>
    </row>
    <row r="65" spans="1:29" ht="15.5" x14ac:dyDescent="0.35">
      <c r="A65" s="62" t="s">
        <v>67</v>
      </c>
      <c r="B65" s="63"/>
      <c r="C65" s="1"/>
      <c r="D65" s="63"/>
      <c r="E65" s="68"/>
      <c r="F65" s="68"/>
      <c r="G65" s="68"/>
      <c r="H65" s="63"/>
      <c r="I65" s="63"/>
      <c r="J65" s="63"/>
      <c r="K65" s="63"/>
      <c r="L65" s="63"/>
      <c r="M65" s="63"/>
      <c r="N65" s="63"/>
      <c r="O65" s="63"/>
      <c r="P65" s="63"/>
      <c r="Q65" s="63"/>
      <c r="R65" s="63"/>
      <c r="S65" s="63"/>
      <c r="T65" s="63"/>
      <c r="U65" s="63"/>
      <c r="V65" s="63"/>
      <c r="W65" s="63"/>
      <c r="X65" s="63"/>
      <c r="Y65" s="63"/>
      <c r="Z65" s="64"/>
    </row>
    <row r="66" spans="1:29" ht="62" x14ac:dyDescent="0.35">
      <c r="A66" s="2" t="s">
        <v>109</v>
      </c>
      <c r="B66" s="2" t="s">
        <v>110</v>
      </c>
      <c r="C66" s="63"/>
      <c r="D66" s="12"/>
      <c r="E66" s="195"/>
      <c r="F66" s="195"/>
      <c r="G66" s="195"/>
      <c r="H66" s="12"/>
      <c r="I66" s="195"/>
      <c r="J66" s="195"/>
      <c r="K66" s="195"/>
      <c r="L66" s="12"/>
      <c r="M66" s="9"/>
      <c r="N66" s="9"/>
      <c r="O66" s="9"/>
      <c r="P66" s="12"/>
      <c r="Q66" s="9"/>
      <c r="R66" s="9"/>
      <c r="S66" s="9"/>
      <c r="T66" s="12"/>
      <c r="U66" s="2" t="s">
        <v>114</v>
      </c>
      <c r="V66" s="2" t="s">
        <v>108</v>
      </c>
      <c r="W66" s="14">
        <v>4000</v>
      </c>
      <c r="X66" s="20">
        <v>0</v>
      </c>
      <c r="Y66" s="2" t="s">
        <v>38</v>
      </c>
      <c r="Z66" s="15" t="s">
        <v>33</v>
      </c>
    </row>
    <row r="67" spans="1:29" ht="20" x14ac:dyDescent="0.35">
      <c r="A67" s="3"/>
      <c r="B67" s="7"/>
      <c r="C67" s="1"/>
      <c r="D67" s="56"/>
      <c r="E67" s="82"/>
      <c r="F67" s="82"/>
      <c r="G67" s="82"/>
      <c r="H67" s="56"/>
      <c r="I67" s="79"/>
      <c r="J67" s="79"/>
      <c r="K67" s="79"/>
      <c r="L67" s="56"/>
      <c r="M67" s="79"/>
      <c r="N67" s="79"/>
      <c r="O67" s="79"/>
      <c r="P67" s="56"/>
      <c r="Q67" s="79"/>
      <c r="R67" s="79"/>
      <c r="S67" s="79"/>
      <c r="T67" s="56"/>
      <c r="U67" s="7"/>
      <c r="V67" s="7"/>
      <c r="W67" s="51"/>
      <c r="X67" s="7"/>
      <c r="Y67" s="7"/>
      <c r="Z67" s="57"/>
    </row>
    <row r="68" spans="1:29" ht="15.5" x14ac:dyDescent="0.35">
      <c r="A68" s="62" t="s">
        <v>68</v>
      </c>
      <c r="B68" s="63"/>
      <c r="C68" s="1" t="s">
        <v>36</v>
      </c>
      <c r="D68" s="63"/>
      <c r="E68" s="63"/>
      <c r="F68" s="63"/>
      <c r="G68" s="63"/>
      <c r="H68" s="63"/>
      <c r="I68" s="63"/>
      <c r="J68" s="63"/>
      <c r="K68" s="63"/>
      <c r="L68" s="63"/>
      <c r="M68" s="63"/>
      <c r="N68" s="63"/>
      <c r="O68" s="63"/>
      <c r="P68" s="63"/>
      <c r="Q68" s="63"/>
      <c r="R68" s="63"/>
      <c r="S68" s="63"/>
      <c r="T68" s="63"/>
      <c r="U68" s="63"/>
      <c r="V68" s="63"/>
      <c r="W68" s="63"/>
      <c r="X68" s="63"/>
      <c r="Y68" s="63"/>
      <c r="Z68" s="64"/>
    </row>
    <row r="69" spans="1:29" s="177" customFormat="1" ht="37.5" customHeight="1" x14ac:dyDescent="0.35">
      <c r="A69" s="161" t="s">
        <v>305</v>
      </c>
      <c r="B69" s="162"/>
      <c r="C69" s="38" t="s">
        <v>36</v>
      </c>
      <c r="D69" s="162"/>
      <c r="E69" s="9"/>
      <c r="F69" s="9"/>
      <c r="G69" s="195"/>
      <c r="H69" s="162"/>
      <c r="I69" s="9"/>
      <c r="J69" s="9"/>
      <c r="K69" s="9"/>
      <c r="L69" s="162"/>
      <c r="M69" s="9"/>
      <c r="N69" s="9"/>
      <c r="O69" s="9"/>
      <c r="P69" s="162"/>
      <c r="Q69" s="9"/>
      <c r="R69" s="9"/>
      <c r="S69" s="9"/>
      <c r="T69" s="162"/>
      <c r="U69" s="162"/>
      <c r="V69" s="158"/>
      <c r="W69" s="287">
        <v>300000</v>
      </c>
      <c r="X69" s="288"/>
      <c r="Y69" s="158"/>
      <c r="Z69" s="163"/>
    </row>
    <row r="70" spans="1:29" ht="15.5" x14ac:dyDescent="0.35">
      <c r="A70" s="65" t="s">
        <v>69</v>
      </c>
      <c r="B70" s="66"/>
      <c r="C70" s="1" t="s">
        <v>36</v>
      </c>
      <c r="D70" s="66"/>
      <c r="E70" s="66"/>
      <c r="F70" s="66"/>
      <c r="G70" s="66"/>
      <c r="H70" s="66"/>
      <c r="I70" s="66"/>
      <c r="J70" s="66"/>
      <c r="K70" s="66"/>
      <c r="L70" s="66"/>
      <c r="M70" s="66"/>
      <c r="N70" s="66"/>
      <c r="O70" s="66"/>
      <c r="P70" s="66"/>
      <c r="Q70" s="66"/>
      <c r="R70" s="66"/>
      <c r="S70" s="66"/>
      <c r="T70" s="66"/>
      <c r="U70" s="66"/>
      <c r="V70" s="66"/>
      <c r="W70" s="66"/>
      <c r="X70" s="66"/>
      <c r="Y70" s="66"/>
      <c r="Z70" s="67"/>
    </row>
    <row r="71" spans="1:29" ht="15.5" x14ac:dyDescent="0.35">
      <c r="A71" s="62" t="s">
        <v>70</v>
      </c>
      <c r="B71" s="63"/>
      <c r="C71" s="63"/>
      <c r="D71" s="63"/>
      <c r="E71" s="63"/>
      <c r="F71" s="63"/>
      <c r="G71" s="63"/>
      <c r="H71" s="63"/>
      <c r="I71" s="63"/>
      <c r="J71" s="63"/>
      <c r="K71" s="63"/>
      <c r="L71" s="63"/>
      <c r="M71" s="63"/>
      <c r="N71" s="63"/>
      <c r="O71" s="63"/>
      <c r="P71" s="63"/>
      <c r="Q71" s="63"/>
      <c r="R71" s="63"/>
      <c r="S71" s="63"/>
      <c r="T71" s="63"/>
      <c r="U71" s="63"/>
      <c r="V71" s="63"/>
      <c r="W71" s="63"/>
      <c r="X71" s="63"/>
      <c r="Y71" s="63"/>
      <c r="Z71" s="64"/>
      <c r="AC71" s="10">
        <f>216000-85000</f>
        <v>131000</v>
      </c>
    </row>
    <row r="72" spans="1:29" ht="21" customHeight="1" x14ac:dyDescent="0.35">
      <c r="A72" s="3"/>
      <c r="B72" s="7"/>
      <c r="C72" s="1"/>
      <c r="D72" s="13"/>
      <c r="E72" s="79"/>
      <c r="F72" s="79"/>
      <c r="G72" s="79"/>
      <c r="H72" s="13"/>
      <c r="I72" s="79"/>
      <c r="J72" s="79"/>
      <c r="K72" s="79"/>
      <c r="L72" s="13"/>
      <c r="M72" s="79"/>
      <c r="N72" s="79"/>
      <c r="O72" s="79"/>
      <c r="P72" s="13"/>
      <c r="Q72" s="79"/>
      <c r="R72" s="79"/>
      <c r="S72" s="79"/>
      <c r="T72" s="13"/>
      <c r="U72" s="7"/>
      <c r="V72" s="7"/>
      <c r="W72" s="51"/>
      <c r="X72" s="7"/>
      <c r="Y72" s="7"/>
      <c r="Z72" s="57"/>
    </row>
    <row r="73" spans="1:29" ht="50" customHeight="1" x14ac:dyDescent="0.35">
      <c r="A73" s="62" t="s">
        <v>71</v>
      </c>
      <c r="B73" s="63"/>
      <c r="C73" s="63"/>
      <c r="D73" s="63"/>
      <c r="E73" s="63"/>
      <c r="F73" s="63"/>
      <c r="G73" s="63"/>
      <c r="H73" s="63"/>
      <c r="I73" s="63"/>
      <c r="J73" s="63"/>
      <c r="K73" s="63"/>
      <c r="L73" s="63"/>
      <c r="M73" s="63"/>
      <c r="N73" s="63"/>
      <c r="O73" s="63"/>
      <c r="P73" s="63"/>
      <c r="Q73" s="63"/>
      <c r="R73" s="63"/>
      <c r="S73" s="63"/>
      <c r="T73" s="63"/>
      <c r="U73" s="63"/>
      <c r="V73" s="63"/>
      <c r="W73" s="63"/>
      <c r="X73" s="148"/>
      <c r="Y73" s="63"/>
      <c r="Z73" s="64"/>
    </row>
    <row r="74" spans="1:29" ht="20" x14ac:dyDescent="0.35">
      <c r="A74" s="3"/>
      <c r="B74" s="7"/>
      <c r="C74" s="1"/>
      <c r="D74" s="13"/>
      <c r="E74" s="79"/>
      <c r="F74" s="79"/>
      <c r="G74" s="79"/>
      <c r="H74" s="13"/>
      <c r="I74" s="79"/>
      <c r="J74" s="79"/>
      <c r="K74" s="79"/>
      <c r="L74" s="13"/>
      <c r="M74" s="79"/>
      <c r="N74" s="79"/>
      <c r="O74" s="79"/>
      <c r="P74" s="13"/>
      <c r="Q74" s="79"/>
      <c r="R74" s="79"/>
      <c r="S74" s="79"/>
      <c r="T74" s="13"/>
      <c r="U74" s="7"/>
      <c r="V74" s="7"/>
      <c r="W74" s="51"/>
      <c r="X74" s="7"/>
      <c r="Y74" s="7"/>
      <c r="Z74" s="57"/>
    </row>
    <row r="75" spans="1:29" ht="15" x14ac:dyDescent="0.35">
      <c r="A75" s="65" t="s">
        <v>72</v>
      </c>
      <c r="B75" s="66"/>
      <c r="C75" s="36"/>
      <c r="D75" s="66"/>
      <c r="E75" s="66"/>
      <c r="F75" s="66"/>
      <c r="G75" s="66"/>
      <c r="H75" s="66"/>
      <c r="I75" s="66"/>
      <c r="J75" s="66"/>
      <c r="K75" s="66"/>
      <c r="L75" s="66"/>
      <c r="M75" s="66"/>
      <c r="N75" s="66"/>
      <c r="O75" s="66"/>
      <c r="P75" s="66"/>
      <c r="Q75" s="66"/>
      <c r="R75" s="66"/>
      <c r="S75" s="66"/>
      <c r="T75" s="66"/>
      <c r="U75" s="66"/>
      <c r="V75" s="66"/>
      <c r="W75" s="66"/>
      <c r="X75" s="66"/>
      <c r="Y75" s="66"/>
      <c r="Z75" s="67"/>
    </row>
    <row r="76" spans="1:29" s="27" customFormat="1" ht="31" x14ac:dyDescent="0.35">
      <c r="A76" s="69" t="s">
        <v>195</v>
      </c>
      <c r="B76" s="70"/>
      <c r="C76" s="70"/>
      <c r="D76" s="70"/>
      <c r="E76" s="70"/>
      <c r="F76" s="70"/>
      <c r="G76" s="70"/>
      <c r="H76" s="70"/>
      <c r="I76" s="70"/>
      <c r="J76" s="70"/>
      <c r="K76" s="70"/>
      <c r="L76" s="70"/>
      <c r="M76" s="70"/>
      <c r="N76" s="70"/>
      <c r="O76" s="70"/>
      <c r="P76" s="70"/>
      <c r="Q76" s="70"/>
      <c r="R76" s="70"/>
      <c r="S76" s="70"/>
      <c r="T76" s="70"/>
      <c r="U76" s="70"/>
      <c r="V76" s="70"/>
      <c r="W76" s="70"/>
      <c r="X76" s="70"/>
      <c r="Y76" s="70"/>
      <c r="Z76" s="71"/>
    </row>
    <row r="77" spans="1:29" s="177" customFormat="1" ht="46.5" x14ac:dyDescent="0.35">
      <c r="A77" s="9" t="s">
        <v>73</v>
      </c>
      <c r="B77" s="9" t="s">
        <v>111</v>
      </c>
      <c r="C77" s="38" t="s">
        <v>36</v>
      </c>
      <c r="D77" s="157"/>
      <c r="E77" s="195"/>
      <c r="F77" s="195"/>
      <c r="G77" s="195"/>
      <c r="H77" s="12"/>
      <c r="I77" s="195"/>
      <c r="J77" s="195"/>
      <c r="K77" s="195"/>
      <c r="L77" s="158"/>
      <c r="M77" s="38"/>
      <c r="N77" s="38"/>
      <c r="O77" s="38"/>
      <c r="P77" s="158"/>
      <c r="Q77" s="38"/>
      <c r="R77" s="38"/>
      <c r="S77" s="38"/>
      <c r="T77" s="178"/>
      <c r="U77" s="9" t="s">
        <v>74</v>
      </c>
      <c r="V77" s="9" t="s">
        <v>75</v>
      </c>
      <c r="W77" s="38">
        <v>10600</v>
      </c>
      <c r="X77" s="9">
        <v>0</v>
      </c>
      <c r="Y77" s="9" t="s">
        <v>38</v>
      </c>
      <c r="Z77" s="9" t="s">
        <v>33</v>
      </c>
    </row>
    <row r="78" spans="1:29" s="177" customFormat="1" ht="31" x14ac:dyDescent="0.35">
      <c r="A78" s="9" t="s">
        <v>251</v>
      </c>
      <c r="B78" s="9" t="s">
        <v>111</v>
      </c>
      <c r="C78" s="38" t="s">
        <v>36</v>
      </c>
      <c r="D78" s="157"/>
      <c r="E78" s="195"/>
      <c r="F78" s="195"/>
      <c r="G78" s="195"/>
      <c r="H78" s="12"/>
      <c r="I78" s="195"/>
      <c r="J78" s="195"/>
      <c r="K78" s="195"/>
      <c r="L78" s="158"/>
      <c r="M78" s="38"/>
      <c r="N78" s="38"/>
      <c r="O78" s="38"/>
      <c r="P78" s="158"/>
      <c r="Q78" s="38"/>
      <c r="R78" s="38"/>
      <c r="S78" s="38"/>
      <c r="T78" s="178"/>
      <c r="U78" s="9" t="s">
        <v>76</v>
      </c>
      <c r="V78" s="9" t="s">
        <v>77</v>
      </c>
      <c r="W78" s="38">
        <v>5000</v>
      </c>
      <c r="X78" s="9">
        <v>0</v>
      </c>
      <c r="Y78" s="9" t="s">
        <v>38</v>
      </c>
      <c r="Z78" s="9" t="s">
        <v>33</v>
      </c>
    </row>
    <row r="79" spans="1:29" s="177" customFormat="1" ht="31" x14ac:dyDescent="0.35">
      <c r="A79" s="9" t="s">
        <v>252</v>
      </c>
      <c r="B79" s="9" t="s">
        <v>111</v>
      </c>
      <c r="C79" s="38" t="s">
        <v>36</v>
      </c>
      <c r="D79" s="157"/>
      <c r="E79" s="195"/>
      <c r="F79" s="195"/>
      <c r="G79" s="195"/>
      <c r="H79" s="12"/>
      <c r="I79" s="195"/>
      <c r="J79" s="195"/>
      <c r="K79" s="195"/>
      <c r="L79" s="158"/>
      <c r="M79" s="38"/>
      <c r="N79" s="38"/>
      <c r="O79" s="38"/>
      <c r="P79" s="158"/>
      <c r="Q79" s="38"/>
      <c r="R79" s="38"/>
      <c r="S79" s="38"/>
      <c r="T79" s="178"/>
      <c r="U79" s="9" t="s">
        <v>76</v>
      </c>
      <c r="V79" s="9" t="s">
        <v>77</v>
      </c>
      <c r="W79" s="38">
        <v>5000</v>
      </c>
      <c r="X79" s="9">
        <v>0</v>
      </c>
      <c r="Y79" s="9" t="s">
        <v>38</v>
      </c>
      <c r="Z79" s="9" t="s">
        <v>33</v>
      </c>
    </row>
    <row r="80" spans="1:29" s="164" customFormat="1" ht="31" x14ac:dyDescent="0.35">
      <c r="A80" s="38" t="s">
        <v>289</v>
      </c>
      <c r="B80" s="9" t="s">
        <v>111</v>
      </c>
      <c r="C80" s="38" t="s">
        <v>36</v>
      </c>
      <c r="D80" s="161"/>
      <c r="E80" s="195"/>
      <c r="F80" s="195"/>
      <c r="G80" s="195"/>
      <c r="H80" s="12"/>
      <c r="I80" s="195"/>
      <c r="J80" s="195"/>
      <c r="K80" s="195"/>
      <c r="L80" s="162"/>
      <c r="M80" s="38"/>
      <c r="N80" s="38"/>
      <c r="O80" s="38"/>
      <c r="P80" s="162"/>
      <c r="Q80" s="38"/>
      <c r="R80" s="38"/>
      <c r="S80" s="38"/>
      <c r="T80" s="180"/>
      <c r="U80" s="38" t="s">
        <v>78</v>
      </c>
      <c r="V80" s="38"/>
      <c r="W80" s="38">
        <v>12980</v>
      </c>
      <c r="X80" s="38">
        <v>0</v>
      </c>
      <c r="Y80" s="38" t="s">
        <v>38</v>
      </c>
      <c r="Z80" s="38" t="s">
        <v>33</v>
      </c>
    </row>
    <row r="81" spans="1:26" s="164" customFormat="1" ht="30.65" customHeight="1" x14ac:dyDescent="0.35">
      <c r="A81" s="38" t="s">
        <v>290</v>
      </c>
      <c r="B81" s="9" t="s">
        <v>111</v>
      </c>
      <c r="C81" s="38" t="s">
        <v>36</v>
      </c>
      <c r="D81" s="161"/>
      <c r="E81" s="195"/>
      <c r="F81" s="195"/>
      <c r="G81" s="195"/>
      <c r="H81" s="12"/>
      <c r="I81" s="195"/>
      <c r="J81" s="195"/>
      <c r="K81" s="195"/>
      <c r="L81" s="162"/>
      <c r="M81" s="38"/>
      <c r="N81" s="38"/>
      <c r="O81" s="38"/>
      <c r="P81" s="162"/>
      <c r="Q81" s="38"/>
      <c r="R81" s="38"/>
      <c r="S81" s="38"/>
      <c r="T81" s="180"/>
      <c r="U81" s="38" t="s">
        <v>79</v>
      </c>
      <c r="V81" s="38"/>
      <c r="W81" s="38">
        <v>10747</v>
      </c>
      <c r="X81" s="38">
        <v>0</v>
      </c>
      <c r="Y81" s="38" t="s">
        <v>38</v>
      </c>
      <c r="Z81" s="38" t="s">
        <v>33</v>
      </c>
    </row>
    <row r="82" spans="1:26" s="164" customFormat="1" ht="80" customHeight="1" x14ac:dyDescent="0.35">
      <c r="A82" s="38" t="s">
        <v>291</v>
      </c>
      <c r="B82" s="38" t="s">
        <v>80</v>
      </c>
      <c r="C82" s="38" t="s">
        <v>36</v>
      </c>
      <c r="D82" s="161"/>
      <c r="E82" s="195"/>
      <c r="F82" s="195"/>
      <c r="G82" s="195"/>
      <c r="H82" s="12"/>
      <c r="I82" s="195"/>
      <c r="J82" s="195"/>
      <c r="K82" s="195"/>
      <c r="L82" s="162"/>
      <c r="M82" s="38"/>
      <c r="N82" s="38"/>
      <c r="O82" s="38"/>
      <c r="P82" s="162"/>
      <c r="Q82" s="38"/>
      <c r="R82" s="38"/>
      <c r="S82" s="38"/>
      <c r="T82" s="180"/>
      <c r="U82" s="38" t="s">
        <v>81</v>
      </c>
      <c r="V82" s="38"/>
      <c r="W82" s="38">
        <v>18583</v>
      </c>
      <c r="X82" s="38"/>
      <c r="Y82" s="38"/>
      <c r="Z82" s="38"/>
    </row>
    <row r="83" spans="1:26" s="164" customFormat="1" ht="80" customHeight="1" x14ac:dyDescent="0.35">
      <c r="A83" s="38" t="s">
        <v>299</v>
      </c>
      <c r="B83" s="38" t="s">
        <v>266</v>
      </c>
      <c r="C83" s="38"/>
      <c r="D83" s="162"/>
      <c r="E83" s="38"/>
      <c r="F83" s="38"/>
      <c r="G83" s="38"/>
      <c r="H83" s="12"/>
      <c r="I83" s="195"/>
      <c r="J83" s="195"/>
      <c r="K83" s="195"/>
      <c r="L83" s="162"/>
      <c r="M83" s="38"/>
      <c r="N83" s="38"/>
      <c r="O83" s="38"/>
      <c r="P83" s="162"/>
      <c r="Q83" s="38"/>
      <c r="R83" s="38"/>
      <c r="S83" s="38"/>
      <c r="T83" s="162"/>
      <c r="U83" s="162" t="s">
        <v>267</v>
      </c>
      <c r="V83" s="38" t="s">
        <v>268</v>
      </c>
      <c r="W83" s="38">
        <v>12977</v>
      </c>
      <c r="X83" s="38"/>
      <c r="Y83" s="38" t="s">
        <v>38</v>
      </c>
      <c r="Z83" s="38" t="s">
        <v>33</v>
      </c>
    </row>
    <row r="84" spans="1:26" s="177" customFormat="1" ht="62" x14ac:dyDescent="0.35">
      <c r="A84" s="9" t="s">
        <v>292</v>
      </c>
      <c r="B84" s="9" t="s">
        <v>112</v>
      </c>
      <c r="C84" s="38" t="s">
        <v>36</v>
      </c>
      <c r="D84" s="158"/>
      <c r="E84" s="195"/>
      <c r="F84" s="195"/>
      <c r="G84" s="195"/>
      <c r="H84" s="12"/>
      <c r="I84" s="195"/>
      <c r="J84" s="195"/>
      <c r="K84" s="195"/>
      <c r="L84" s="158"/>
      <c r="M84" s="38"/>
      <c r="N84" s="38"/>
      <c r="O84" s="38"/>
      <c r="P84" s="158"/>
      <c r="Q84" s="38"/>
      <c r="R84" s="38"/>
      <c r="S84" s="38"/>
      <c r="T84" s="158"/>
      <c r="U84" s="158" t="s">
        <v>217</v>
      </c>
      <c r="V84" s="9" t="s">
        <v>82</v>
      </c>
      <c r="W84" s="38">
        <v>12430</v>
      </c>
      <c r="X84" s="9">
        <v>0</v>
      </c>
      <c r="Y84" s="9" t="s">
        <v>38</v>
      </c>
      <c r="Z84" s="9" t="s">
        <v>33</v>
      </c>
    </row>
    <row r="85" spans="1:26" s="177" customFormat="1" ht="46.5" x14ac:dyDescent="0.35">
      <c r="A85" s="9" t="s">
        <v>293</v>
      </c>
      <c r="B85" s="9" t="s">
        <v>269</v>
      </c>
      <c r="C85" s="38" t="s">
        <v>36</v>
      </c>
      <c r="D85" s="158"/>
      <c r="E85" s="38"/>
      <c r="F85" s="38"/>
      <c r="G85" s="38"/>
      <c r="H85" s="158"/>
      <c r="I85" s="38"/>
      <c r="J85" s="38"/>
      <c r="K85" s="195"/>
      <c r="L85" s="158"/>
      <c r="M85" s="38"/>
      <c r="N85" s="38"/>
      <c r="O85" s="38"/>
      <c r="P85" s="12"/>
      <c r="Q85" s="195"/>
      <c r="R85" s="195"/>
      <c r="S85" s="195"/>
      <c r="T85" s="158"/>
      <c r="U85" s="158" t="s">
        <v>253</v>
      </c>
      <c r="V85" s="9" t="s">
        <v>254</v>
      </c>
      <c r="W85" s="162">
        <v>15000</v>
      </c>
      <c r="X85" s="9"/>
      <c r="Y85" s="9" t="s">
        <v>38</v>
      </c>
      <c r="Z85" s="9" t="s">
        <v>33</v>
      </c>
    </row>
    <row r="86" spans="1:26" s="177" customFormat="1" ht="46.5" x14ac:dyDescent="0.35">
      <c r="A86" s="157" t="s">
        <v>294</v>
      </c>
      <c r="B86" s="158"/>
      <c r="C86" s="38"/>
      <c r="D86" s="158"/>
      <c r="E86" s="195"/>
      <c r="F86" s="195"/>
      <c r="G86" s="195"/>
      <c r="H86" s="12"/>
      <c r="I86" s="195"/>
      <c r="J86" s="195"/>
      <c r="K86" s="195"/>
      <c r="L86" s="158"/>
      <c r="M86" s="38"/>
      <c r="N86" s="38"/>
      <c r="O86" s="38"/>
      <c r="P86" s="158"/>
      <c r="Q86" s="38"/>
      <c r="R86" s="38"/>
      <c r="S86" s="38"/>
      <c r="T86" s="158"/>
      <c r="U86" s="158" t="s">
        <v>218</v>
      </c>
      <c r="V86" s="9"/>
      <c r="W86" s="162">
        <v>15000</v>
      </c>
      <c r="X86" s="158"/>
      <c r="Y86" s="158"/>
      <c r="Z86" s="178"/>
    </row>
    <row r="87" spans="1:26" ht="20" x14ac:dyDescent="0.35">
      <c r="B87" s="6" t="s">
        <v>219</v>
      </c>
      <c r="C87" s="1" t="s">
        <v>36</v>
      </c>
      <c r="D87" s="21"/>
      <c r="E87" s="79"/>
      <c r="F87" s="79"/>
      <c r="G87" s="79"/>
      <c r="H87" s="21"/>
      <c r="I87" s="79"/>
      <c r="J87" s="79"/>
      <c r="K87" s="79"/>
      <c r="L87" s="21"/>
      <c r="M87" s="79"/>
      <c r="N87" s="79"/>
      <c r="O87" s="79"/>
      <c r="P87" s="21"/>
      <c r="Q87" s="79"/>
      <c r="R87" s="79"/>
      <c r="S87" s="79"/>
      <c r="T87" s="21"/>
      <c r="U87" s="6"/>
      <c r="V87" s="6"/>
      <c r="W87" s="51">
        <f>W62+W63+W64+W66+W69+W77+W78+W79+W80+W81+W82+W83+W84+W85+W86</f>
        <v>443817</v>
      </c>
      <c r="X87" s="6"/>
      <c r="Y87" s="6"/>
      <c r="Z87" s="25"/>
    </row>
    <row r="88" spans="1:26" ht="15" x14ac:dyDescent="0.35">
      <c r="A88" s="65" t="s">
        <v>83</v>
      </c>
      <c r="B88" s="66"/>
      <c r="C88" s="66"/>
      <c r="D88" s="66"/>
      <c r="E88" s="66"/>
      <c r="F88" s="66"/>
      <c r="G88" s="66"/>
      <c r="H88" s="66"/>
      <c r="I88" s="66"/>
      <c r="J88" s="66"/>
      <c r="K88" s="66"/>
      <c r="L88" s="66"/>
      <c r="M88" s="66"/>
      <c r="N88" s="66"/>
      <c r="O88" s="66"/>
      <c r="P88" s="66"/>
      <c r="Q88" s="66"/>
      <c r="R88" s="66"/>
      <c r="S88" s="66"/>
      <c r="T88" s="66"/>
      <c r="U88" s="66"/>
      <c r="V88" s="66"/>
      <c r="W88" s="66"/>
      <c r="X88" s="66"/>
      <c r="Y88" s="66"/>
      <c r="Z88" s="67"/>
    </row>
    <row r="89" spans="1:26" ht="15.5" x14ac:dyDescent="0.35">
      <c r="A89" s="62" t="s">
        <v>84</v>
      </c>
      <c r="B89" s="63"/>
      <c r="C89" s="63"/>
      <c r="D89" s="63"/>
      <c r="E89" s="63"/>
      <c r="F89" s="63"/>
      <c r="G89" s="63"/>
      <c r="H89" s="63"/>
      <c r="I89" s="63"/>
      <c r="J89" s="63"/>
      <c r="K89" s="63"/>
      <c r="L89" s="63"/>
      <c r="M89" s="63"/>
      <c r="N89" s="63"/>
      <c r="O89" s="63"/>
      <c r="P89" s="63"/>
      <c r="Q89" s="63"/>
      <c r="R89" s="63"/>
      <c r="S89" s="63"/>
      <c r="T89" s="63"/>
      <c r="U89" s="63"/>
      <c r="V89" s="63"/>
      <c r="W89" s="63"/>
      <c r="Y89" s="63"/>
      <c r="Z89" s="64"/>
    </row>
    <row r="90" spans="1:26" ht="31" x14ac:dyDescent="0.35">
      <c r="A90" s="28" t="s">
        <v>85</v>
      </c>
      <c r="B90" s="2"/>
      <c r="C90" s="1" t="s">
        <v>36</v>
      </c>
      <c r="D90" s="12"/>
      <c r="E90" s="195"/>
      <c r="F90" s="195"/>
      <c r="G90" s="195"/>
      <c r="H90" s="12"/>
      <c r="I90" s="195"/>
      <c r="J90" s="195"/>
      <c r="K90" s="195"/>
      <c r="L90" s="12"/>
      <c r="M90" s="9"/>
      <c r="N90" s="9"/>
      <c r="O90" s="9"/>
      <c r="P90" s="12"/>
      <c r="Q90" s="9"/>
      <c r="R90" s="9"/>
      <c r="S90" s="9"/>
      <c r="T90" s="12"/>
      <c r="U90" s="2"/>
      <c r="V90" s="2"/>
      <c r="W90" s="20"/>
      <c r="X90" s="146"/>
      <c r="Y90" s="2"/>
      <c r="Z90" s="15"/>
    </row>
    <row r="91" spans="1:26" ht="15.5" x14ac:dyDescent="0.35">
      <c r="A91" s="2" t="s">
        <v>86</v>
      </c>
      <c r="B91" s="2"/>
      <c r="C91" s="1" t="s">
        <v>36</v>
      </c>
      <c r="D91" s="12"/>
      <c r="E91" s="195"/>
      <c r="F91" s="195"/>
      <c r="G91" s="195"/>
      <c r="H91" s="12"/>
      <c r="I91" s="195"/>
      <c r="J91" s="195"/>
      <c r="K91" s="195"/>
      <c r="L91" s="12"/>
      <c r="M91" s="9"/>
      <c r="N91" s="9"/>
      <c r="O91" s="9"/>
      <c r="P91" s="12"/>
      <c r="Q91" s="9"/>
      <c r="R91" s="9"/>
      <c r="S91" s="9"/>
      <c r="T91" s="12"/>
      <c r="U91" s="2"/>
      <c r="V91" s="2"/>
      <c r="W91" s="20"/>
      <c r="X91" s="146"/>
      <c r="Y91" s="2"/>
      <c r="Z91" s="15"/>
    </row>
    <row r="92" spans="1:26" ht="15.5" x14ac:dyDescent="0.35">
      <c r="A92" s="62" t="s">
        <v>87</v>
      </c>
      <c r="B92" s="63"/>
      <c r="C92" s="63"/>
      <c r="D92" s="63"/>
      <c r="E92" s="63"/>
      <c r="F92" s="63"/>
      <c r="G92" s="63"/>
      <c r="H92" s="63"/>
      <c r="I92" s="63"/>
      <c r="J92" s="63"/>
      <c r="K92" s="63"/>
      <c r="L92" s="63"/>
      <c r="M92" s="63"/>
      <c r="N92" s="63"/>
      <c r="O92" s="63"/>
      <c r="P92" s="63"/>
      <c r="Q92" s="63"/>
      <c r="R92" s="63"/>
      <c r="S92" s="63"/>
      <c r="T92" s="63"/>
      <c r="U92" s="63"/>
      <c r="V92" s="63"/>
      <c r="W92" s="63"/>
      <c r="X92" s="148"/>
      <c r="Y92" s="63"/>
      <c r="Z92" s="64"/>
    </row>
    <row r="93" spans="1:26" ht="15.5" x14ac:dyDescent="0.35">
      <c r="A93" s="28" t="s">
        <v>88</v>
      </c>
      <c r="B93" s="2"/>
      <c r="C93" s="1" t="s">
        <v>36</v>
      </c>
      <c r="D93" s="12"/>
      <c r="E93" s="195"/>
      <c r="F93" s="195"/>
      <c r="G93" s="195"/>
      <c r="H93" s="12"/>
      <c r="I93" s="195"/>
      <c r="J93" s="195"/>
      <c r="K93" s="195"/>
      <c r="L93" s="12"/>
      <c r="M93" s="9"/>
      <c r="N93" s="9"/>
      <c r="O93" s="9"/>
      <c r="P93" s="12"/>
      <c r="Q93" s="9"/>
      <c r="R93" s="9"/>
      <c r="S93" s="9"/>
      <c r="T93" s="12"/>
      <c r="U93" s="2"/>
      <c r="V93" s="2"/>
      <c r="W93" s="20"/>
      <c r="X93" s="148">
        <v>2804</v>
      </c>
      <c r="Y93" s="2"/>
      <c r="Z93" s="15"/>
    </row>
    <row r="94" spans="1:26" ht="15.5" x14ac:dyDescent="0.35">
      <c r="A94" s="28" t="s">
        <v>89</v>
      </c>
      <c r="B94" s="2"/>
      <c r="C94" s="1" t="s">
        <v>36</v>
      </c>
      <c r="D94" s="12"/>
      <c r="E94" s="195"/>
      <c r="F94" s="195"/>
      <c r="G94" s="195"/>
      <c r="H94" s="12"/>
      <c r="I94" s="195"/>
      <c r="J94" s="195"/>
      <c r="K94" s="195"/>
      <c r="L94" s="12"/>
      <c r="M94" s="12"/>
      <c r="N94" s="12"/>
      <c r="O94" s="12"/>
      <c r="P94" s="12"/>
      <c r="Q94" s="12"/>
      <c r="R94" s="12"/>
      <c r="S94" s="12"/>
      <c r="T94" s="12"/>
      <c r="U94" s="2"/>
      <c r="V94" s="2"/>
      <c r="W94" s="20"/>
      <c r="X94" s="14">
        <v>0</v>
      </c>
      <c r="Y94" s="2"/>
      <c r="Z94" s="15"/>
    </row>
    <row r="95" spans="1:26" ht="15" x14ac:dyDescent="0.35">
      <c r="A95" s="65"/>
      <c r="B95" s="66"/>
      <c r="C95" s="66"/>
      <c r="D95" s="66"/>
      <c r="E95" s="66"/>
      <c r="F95" s="66"/>
      <c r="G95" s="66"/>
      <c r="H95" s="66"/>
      <c r="I95" s="66"/>
      <c r="J95" s="66"/>
      <c r="K95" s="66"/>
      <c r="L95" s="66"/>
      <c r="M95" s="66"/>
      <c r="N95" s="66"/>
      <c r="O95" s="66"/>
      <c r="P95" s="66"/>
      <c r="Q95" s="66"/>
      <c r="R95" s="66"/>
      <c r="S95" s="66"/>
      <c r="T95" s="66"/>
      <c r="U95" s="66"/>
      <c r="V95" s="66"/>
      <c r="W95" s="66"/>
      <c r="X95" s="66"/>
      <c r="Y95" s="66"/>
      <c r="Z95" s="67"/>
    </row>
    <row r="96" spans="1:26" ht="15.5" x14ac:dyDescent="0.35">
      <c r="A96" s="62" t="s">
        <v>90</v>
      </c>
      <c r="B96" s="63"/>
      <c r="C96" s="63"/>
      <c r="D96" s="63"/>
      <c r="E96" s="63"/>
      <c r="F96" s="63"/>
      <c r="G96" s="63"/>
      <c r="H96" s="63"/>
      <c r="I96" s="63"/>
      <c r="J96" s="63"/>
      <c r="K96" s="63"/>
      <c r="L96" s="63"/>
      <c r="M96" s="63"/>
      <c r="N96" s="63"/>
      <c r="O96" s="63"/>
      <c r="P96" s="63"/>
      <c r="Q96" s="63"/>
      <c r="R96" s="63"/>
      <c r="S96" s="63"/>
      <c r="T96" s="63"/>
      <c r="U96" s="63"/>
      <c r="V96" s="63"/>
      <c r="W96" s="63"/>
      <c r="X96" s="148"/>
      <c r="Y96" s="63"/>
      <c r="Z96" s="64"/>
    </row>
    <row r="97" spans="1:26" ht="96.65" customHeight="1" x14ac:dyDescent="0.35">
      <c r="A97" s="2"/>
      <c r="B97" s="2"/>
      <c r="C97" s="1"/>
      <c r="D97" s="23"/>
      <c r="E97" s="38"/>
      <c r="F97" s="38"/>
      <c r="G97" s="38"/>
      <c r="H97" s="21"/>
      <c r="I97" s="38"/>
      <c r="J97" s="38"/>
      <c r="K97" s="80"/>
      <c r="L97" s="21"/>
      <c r="M97" s="1"/>
      <c r="N97" s="1"/>
      <c r="O97" s="1"/>
      <c r="P97" s="21"/>
      <c r="Q97" s="1"/>
      <c r="R97" s="1"/>
      <c r="S97" s="1"/>
      <c r="T97" s="24"/>
      <c r="U97" s="9"/>
      <c r="V97" s="5"/>
      <c r="W97" s="38"/>
      <c r="X97" s="146"/>
      <c r="Y97" s="2"/>
      <c r="Z97" s="25"/>
    </row>
    <row r="98" spans="1:26" ht="48.65" customHeight="1" x14ac:dyDescent="0.35">
      <c r="A98" s="5"/>
      <c r="B98" s="6"/>
      <c r="C98" s="1"/>
      <c r="D98" s="21"/>
      <c r="E98" s="79"/>
      <c r="F98" s="79"/>
      <c r="G98" s="79"/>
      <c r="H98" s="21"/>
      <c r="I98" s="79"/>
      <c r="J98" s="79"/>
      <c r="K98" s="79"/>
      <c r="L98" s="21"/>
      <c r="M98" s="79"/>
      <c r="N98" s="79"/>
      <c r="O98" s="79"/>
      <c r="P98" s="21"/>
      <c r="Q98" s="79"/>
      <c r="R98" s="79"/>
      <c r="S98" s="79"/>
      <c r="T98" s="21"/>
      <c r="U98" s="6"/>
      <c r="V98" s="6"/>
      <c r="W98" s="52"/>
      <c r="X98" s="2">
        <v>0</v>
      </c>
      <c r="Y98" s="2"/>
      <c r="Z98" s="2"/>
    </row>
    <row r="99" spans="1:26" ht="15.5" x14ac:dyDescent="0.35">
      <c r="A99" s="62" t="s">
        <v>91</v>
      </c>
      <c r="B99" s="63"/>
      <c r="C99" s="63"/>
      <c r="D99" s="63"/>
      <c r="E99" s="63"/>
      <c r="F99" s="63"/>
      <c r="G99" s="63"/>
      <c r="H99" s="63"/>
      <c r="I99" s="63"/>
      <c r="J99" s="63"/>
      <c r="K99" s="63"/>
      <c r="L99" s="63"/>
      <c r="M99" s="63"/>
      <c r="N99" s="63"/>
      <c r="O99" s="63"/>
      <c r="P99" s="63"/>
      <c r="Q99" s="63"/>
      <c r="R99" s="63"/>
      <c r="S99" s="63"/>
      <c r="T99" s="63"/>
      <c r="U99" s="63"/>
      <c r="V99" s="63"/>
      <c r="W99" s="63"/>
      <c r="X99" s="148"/>
      <c r="Y99" s="63"/>
      <c r="Z99" s="64"/>
    </row>
    <row r="100" spans="1:26" ht="111" customHeight="1" x14ac:dyDescent="0.35">
      <c r="A100" s="28" t="s">
        <v>113</v>
      </c>
      <c r="B100" s="2" t="s">
        <v>239</v>
      </c>
      <c r="C100" s="1" t="s">
        <v>36</v>
      </c>
      <c r="D100" s="12"/>
      <c r="E100" s="195"/>
      <c r="F100" s="195"/>
      <c r="G100" s="195"/>
      <c r="H100" s="12"/>
      <c r="I100" s="195"/>
      <c r="J100" s="195"/>
      <c r="K100" s="195"/>
      <c r="L100" s="12"/>
      <c r="M100" s="9"/>
      <c r="N100" s="9"/>
      <c r="O100" s="9"/>
      <c r="P100" s="12"/>
      <c r="Q100" s="9"/>
      <c r="R100" s="9"/>
      <c r="S100" s="9"/>
      <c r="T100" s="12"/>
      <c r="U100" s="2" t="s">
        <v>92</v>
      </c>
      <c r="V100" s="2"/>
      <c r="W100" s="1">
        <v>0</v>
      </c>
      <c r="X100" s="146"/>
      <c r="Y100" s="2"/>
      <c r="Z100" s="15"/>
    </row>
    <row r="101" spans="1:26" ht="20" x14ac:dyDescent="0.35">
      <c r="A101" s="5"/>
      <c r="B101" s="6"/>
      <c r="C101" s="1"/>
      <c r="D101" s="21"/>
      <c r="E101" s="79"/>
      <c r="F101" s="79"/>
      <c r="G101" s="79"/>
      <c r="H101" s="21"/>
      <c r="I101" s="79"/>
      <c r="J101" s="79"/>
      <c r="K101" s="79"/>
      <c r="L101" s="21"/>
      <c r="M101" s="79"/>
      <c r="N101" s="79"/>
      <c r="O101" s="79"/>
      <c r="P101" s="21"/>
      <c r="Q101" s="79"/>
      <c r="R101" s="79"/>
      <c r="S101" s="79"/>
      <c r="T101" s="21"/>
      <c r="U101" s="6"/>
      <c r="V101" s="6"/>
      <c r="W101" s="52">
        <f>+W100</f>
        <v>0</v>
      </c>
      <c r="X101" s="2"/>
      <c r="Y101" s="2"/>
      <c r="Z101" s="2"/>
    </row>
    <row r="102" spans="1:26" ht="15.5" x14ac:dyDescent="0.35">
      <c r="A102" s="62" t="s">
        <v>93</v>
      </c>
      <c r="B102" s="63"/>
      <c r="C102" s="63"/>
      <c r="D102" s="63"/>
      <c r="E102" s="63"/>
      <c r="F102" s="63"/>
      <c r="G102" s="63"/>
      <c r="H102" s="63"/>
      <c r="I102" s="63"/>
      <c r="J102" s="63"/>
      <c r="K102" s="63"/>
      <c r="L102" s="63"/>
      <c r="M102" s="63"/>
      <c r="N102" s="63"/>
      <c r="O102" s="63"/>
      <c r="P102" s="63"/>
      <c r="Q102" s="63"/>
      <c r="R102" s="63"/>
      <c r="S102" s="63"/>
      <c r="T102" s="63"/>
      <c r="U102" s="63"/>
      <c r="V102" s="63"/>
      <c r="W102" s="63"/>
      <c r="X102" s="148">
        <v>100000</v>
      </c>
      <c r="Y102" s="63"/>
      <c r="Z102" s="64"/>
    </row>
    <row r="103" spans="1:26" ht="20.5" thickBot="1" x14ac:dyDescent="0.4">
      <c r="A103" s="49"/>
      <c r="B103" s="17"/>
      <c r="C103" s="7"/>
      <c r="D103" s="12"/>
      <c r="E103" s="17"/>
      <c r="F103" s="17"/>
      <c r="G103" s="17"/>
      <c r="H103" s="12"/>
      <c r="I103" s="17"/>
      <c r="J103" s="17"/>
      <c r="K103" s="17"/>
      <c r="L103" s="12"/>
      <c r="M103" s="82"/>
      <c r="N103" s="82"/>
      <c r="O103" s="82"/>
      <c r="P103" s="12"/>
      <c r="Q103" s="82"/>
      <c r="R103" s="82"/>
      <c r="S103" s="82"/>
      <c r="T103" s="12"/>
      <c r="U103" s="19"/>
      <c r="V103" s="19"/>
      <c r="W103" s="94"/>
      <c r="X103" s="19"/>
      <c r="Y103" s="19"/>
      <c r="Z103" s="48"/>
    </row>
    <row r="104" spans="1:26" ht="48" customHeight="1" thickBot="1" x14ac:dyDescent="0.4">
      <c r="A104" s="59" t="s">
        <v>94</v>
      </c>
      <c r="B104" s="63"/>
      <c r="C104" s="63"/>
      <c r="D104" s="63"/>
      <c r="E104" s="63"/>
      <c r="F104" s="63"/>
      <c r="G104" s="63"/>
      <c r="H104" s="63"/>
      <c r="I104" s="63"/>
      <c r="J104" s="63"/>
      <c r="K104" s="63"/>
      <c r="L104" s="63"/>
      <c r="M104" s="63"/>
      <c r="N104" s="63"/>
      <c r="O104" s="63"/>
      <c r="P104" s="63"/>
      <c r="Q104" s="63"/>
      <c r="R104" s="63"/>
      <c r="S104" s="63"/>
      <c r="T104" s="63"/>
      <c r="U104" s="63"/>
      <c r="V104" s="63"/>
      <c r="W104" s="63"/>
      <c r="X104" s="148">
        <v>200000</v>
      </c>
      <c r="Y104" s="63"/>
      <c r="Z104" s="64"/>
    </row>
    <row r="105" spans="1:26" ht="48" customHeight="1" x14ac:dyDescent="0.35">
      <c r="A105" s="165" t="s">
        <v>220</v>
      </c>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4"/>
    </row>
    <row r="106" spans="1:26" ht="48" customHeight="1" x14ac:dyDescent="0.35">
      <c r="A106" s="166" t="s">
        <v>295</v>
      </c>
      <c r="B106" s="166" t="s">
        <v>223</v>
      </c>
      <c r="C106" s="41"/>
      <c r="D106" s="41"/>
      <c r="E106" s="195"/>
      <c r="F106" s="195"/>
      <c r="G106" s="195"/>
      <c r="H106" s="12"/>
      <c r="I106" s="38"/>
      <c r="J106" s="38"/>
      <c r="K106" s="38"/>
      <c r="L106" s="41"/>
      <c r="M106" s="158"/>
      <c r="N106" s="9"/>
      <c r="O106" s="9"/>
      <c r="P106" s="12"/>
      <c r="Q106" s="158"/>
      <c r="R106" s="178"/>
      <c r="S106" s="178"/>
      <c r="T106" s="178"/>
      <c r="U106" s="166" t="s">
        <v>224</v>
      </c>
      <c r="V106" s="41"/>
      <c r="W106" s="167">
        <v>140622</v>
      </c>
      <c r="X106" s="41"/>
      <c r="Y106" s="41"/>
      <c r="Z106" s="41"/>
    </row>
    <row r="107" spans="1:26" ht="78.75" customHeight="1" x14ac:dyDescent="0.35">
      <c r="A107" s="2"/>
      <c r="B107" s="2" t="s">
        <v>95</v>
      </c>
      <c r="C107" s="1" t="s">
        <v>36</v>
      </c>
      <c r="D107" s="12"/>
      <c r="E107" s="5"/>
      <c r="F107" s="5"/>
      <c r="G107" s="5"/>
      <c r="H107" s="12"/>
      <c r="I107" s="9"/>
      <c r="J107" s="9"/>
      <c r="K107" s="89"/>
      <c r="L107" s="12"/>
      <c r="M107" s="9"/>
      <c r="N107" s="9"/>
      <c r="O107" s="9"/>
      <c r="P107" s="12"/>
      <c r="Q107" s="82"/>
      <c r="R107" s="82"/>
      <c r="S107" s="82"/>
      <c r="T107" s="12"/>
      <c r="U107" s="2" t="s">
        <v>96</v>
      </c>
      <c r="V107" s="2"/>
      <c r="W107" s="53">
        <f>+W106</f>
        <v>140622</v>
      </c>
      <c r="X107" s="20"/>
      <c r="Y107" s="2"/>
      <c r="Z107" s="15"/>
    </row>
    <row r="108" spans="1:26" s="177" customFormat="1" ht="78.75" customHeight="1" x14ac:dyDescent="0.35">
      <c r="A108" s="281" t="s">
        <v>307</v>
      </c>
      <c r="B108" s="281" t="s">
        <v>310</v>
      </c>
      <c r="C108" s="38" t="s">
        <v>36</v>
      </c>
      <c r="D108" s="9"/>
      <c r="E108" s="9"/>
      <c r="F108" s="9"/>
      <c r="G108" s="195"/>
      <c r="H108" s="9"/>
      <c r="I108" s="9"/>
      <c r="J108" s="9"/>
      <c r="K108" s="9"/>
      <c r="L108" s="9"/>
      <c r="M108" s="9"/>
      <c r="N108" s="9"/>
      <c r="O108" s="9"/>
      <c r="P108" s="9"/>
      <c r="Q108" s="282"/>
      <c r="R108" s="281"/>
      <c r="S108" s="281"/>
      <c r="T108" s="282"/>
      <c r="U108" s="38" t="s">
        <v>309</v>
      </c>
      <c r="V108" s="9"/>
      <c r="W108" s="283">
        <v>10000</v>
      </c>
      <c r="X108" s="284"/>
      <c r="Y108" s="38" t="s">
        <v>38</v>
      </c>
      <c r="Z108" s="38" t="s">
        <v>33</v>
      </c>
    </row>
    <row r="109" spans="1:26" s="177" customFormat="1" ht="78.75" customHeight="1" x14ac:dyDescent="0.35">
      <c r="A109" s="281" t="s">
        <v>324</v>
      </c>
      <c r="B109" s="281" t="s">
        <v>326</v>
      </c>
      <c r="C109" s="38" t="s">
        <v>36</v>
      </c>
      <c r="D109" s="9"/>
      <c r="E109" s="9"/>
      <c r="F109" s="9"/>
      <c r="G109" s="9"/>
      <c r="H109" s="9"/>
      <c r="I109" s="195"/>
      <c r="J109" s="9"/>
      <c r="K109" s="9"/>
      <c r="L109" s="9"/>
      <c r="M109" s="9"/>
      <c r="N109" s="9"/>
      <c r="O109" s="9"/>
      <c r="P109" s="9"/>
      <c r="Q109" s="282"/>
      <c r="R109" s="281"/>
      <c r="S109" s="281"/>
      <c r="T109" s="282"/>
      <c r="U109" s="286" t="s">
        <v>328</v>
      </c>
      <c r="V109" s="9"/>
      <c r="W109" s="283">
        <v>16000</v>
      </c>
      <c r="X109" s="284"/>
      <c r="Y109" s="38" t="s">
        <v>38</v>
      </c>
      <c r="Z109" s="38" t="s">
        <v>33</v>
      </c>
    </row>
    <row r="110" spans="1:26" s="177" customFormat="1" ht="78.75" customHeight="1" x14ac:dyDescent="0.35">
      <c r="A110" s="281" t="s">
        <v>316</v>
      </c>
      <c r="B110" s="281" t="s">
        <v>311</v>
      </c>
      <c r="C110" s="38" t="s">
        <v>36</v>
      </c>
      <c r="D110" s="289"/>
      <c r="E110" s="289"/>
      <c r="F110" s="289"/>
      <c r="G110" s="289"/>
      <c r="H110" s="289"/>
      <c r="I110" s="289"/>
      <c r="J110" s="290"/>
      <c r="K110" s="289"/>
      <c r="L110" s="289"/>
      <c r="M110" s="289"/>
      <c r="N110" s="289"/>
      <c r="O110" s="289"/>
      <c r="P110" s="289"/>
      <c r="Q110" s="282"/>
      <c r="R110" s="281"/>
      <c r="S110" s="281"/>
      <c r="T110" s="282"/>
      <c r="U110" s="205" t="s">
        <v>327</v>
      </c>
      <c r="V110" s="9"/>
      <c r="W110" s="283">
        <v>7500</v>
      </c>
      <c r="X110" s="284"/>
      <c r="Y110" s="38" t="s">
        <v>327</v>
      </c>
      <c r="Z110" s="38" t="s">
        <v>33</v>
      </c>
    </row>
    <row r="111" spans="1:26" s="177" customFormat="1" ht="78.75" customHeight="1" x14ac:dyDescent="0.35">
      <c r="A111" s="281" t="s">
        <v>317</v>
      </c>
      <c r="B111" s="281" t="s">
        <v>312</v>
      </c>
      <c r="C111" s="38" t="s">
        <v>36</v>
      </c>
      <c r="D111" s="9"/>
      <c r="E111" s="9"/>
      <c r="F111" s="9"/>
      <c r="G111" s="195"/>
      <c r="H111" s="9"/>
      <c r="I111" s="9"/>
      <c r="J111" s="9"/>
      <c r="K111" s="9"/>
      <c r="L111" s="9"/>
      <c r="M111" s="9"/>
      <c r="N111" s="9"/>
      <c r="O111" s="9"/>
      <c r="P111" s="9"/>
      <c r="Q111" s="9"/>
      <c r="R111" s="9"/>
      <c r="S111" s="9"/>
      <c r="T111" s="9"/>
      <c r="U111" s="205" t="s">
        <v>313</v>
      </c>
      <c r="V111" s="9"/>
      <c r="W111" s="283">
        <v>15000</v>
      </c>
      <c r="X111" s="37"/>
      <c r="Y111" s="281"/>
      <c r="Z111" s="285"/>
    </row>
    <row r="112" spans="1:26" s="177" customFormat="1" ht="78.75" customHeight="1" x14ac:dyDescent="0.35">
      <c r="A112" s="281" t="s">
        <v>308</v>
      </c>
      <c r="B112" s="281" t="s">
        <v>314</v>
      </c>
      <c r="C112" s="38" t="s">
        <v>36</v>
      </c>
      <c r="D112" s="9"/>
      <c r="E112" s="9"/>
      <c r="F112" s="195"/>
      <c r="G112" s="9"/>
      <c r="H112" s="9"/>
      <c r="I112" s="9"/>
      <c r="J112" s="9"/>
      <c r="K112" s="9"/>
      <c r="L112" s="9"/>
      <c r="M112" s="9"/>
      <c r="N112" s="9"/>
      <c r="O112" s="9"/>
      <c r="P112" s="9"/>
      <c r="Q112" s="9"/>
      <c r="R112" s="9"/>
      <c r="S112" s="9"/>
      <c r="T112" s="9"/>
      <c r="U112" s="205" t="s">
        <v>315</v>
      </c>
      <c r="V112" s="9"/>
      <c r="W112" s="283">
        <v>4821</v>
      </c>
      <c r="X112" s="284"/>
      <c r="Y112" s="38" t="s">
        <v>38</v>
      </c>
      <c r="Z112" s="38" t="s">
        <v>33</v>
      </c>
    </row>
    <row r="113" spans="1:27" s="177" customFormat="1" ht="78.75" customHeight="1" x14ac:dyDescent="0.35">
      <c r="A113" s="281" t="s">
        <v>330</v>
      </c>
      <c r="B113" s="281" t="s">
        <v>331</v>
      </c>
      <c r="C113" s="38" t="s">
        <v>36</v>
      </c>
      <c r="D113" s="9"/>
      <c r="E113" s="9"/>
      <c r="F113" s="9"/>
      <c r="G113" s="195"/>
      <c r="H113" s="9"/>
      <c r="I113" s="195"/>
      <c r="J113" s="195"/>
      <c r="K113" s="9"/>
      <c r="L113" s="9"/>
      <c r="M113" s="9"/>
      <c r="N113" s="9"/>
      <c r="O113" s="9"/>
      <c r="P113" s="9"/>
      <c r="Q113" s="9"/>
      <c r="R113" s="9"/>
      <c r="S113" s="9"/>
      <c r="T113" s="9"/>
      <c r="U113" s="9" t="s">
        <v>329</v>
      </c>
      <c r="V113" s="9"/>
      <c r="W113" s="283">
        <v>20000</v>
      </c>
      <c r="X113" s="284"/>
      <c r="Y113" s="281" t="s">
        <v>38</v>
      </c>
      <c r="Z113" s="285" t="s">
        <v>33</v>
      </c>
    </row>
    <row r="114" spans="1:27" s="177" customFormat="1" ht="78.75" customHeight="1" x14ac:dyDescent="0.35">
      <c r="A114" s="281" t="s">
        <v>325</v>
      </c>
      <c r="B114" s="281" t="s">
        <v>332</v>
      </c>
      <c r="C114" s="38" t="s">
        <v>36</v>
      </c>
      <c r="D114" s="9"/>
      <c r="E114" s="9"/>
      <c r="F114" s="9"/>
      <c r="G114" s="195"/>
      <c r="H114" s="9"/>
      <c r="I114" s="195"/>
      <c r="J114" s="195"/>
      <c r="K114" s="9"/>
      <c r="L114" s="9"/>
      <c r="M114" s="9"/>
      <c r="N114" s="9"/>
      <c r="O114" s="9"/>
      <c r="P114" s="9"/>
      <c r="Q114" s="9"/>
      <c r="R114" s="9"/>
      <c r="S114" s="9"/>
      <c r="T114" s="9"/>
      <c r="U114" s="205" t="s">
        <v>333</v>
      </c>
      <c r="V114" s="9"/>
      <c r="W114" s="283">
        <v>27000</v>
      </c>
      <c r="X114" s="37"/>
      <c r="Y114" s="9" t="s">
        <v>38</v>
      </c>
      <c r="Z114" s="176" t="s">
        <v>33</v>
      </c>
    </row>
    <row r="115" spans="1:27" ht="37.25" customHeight="1" x14ac:dyDescent="0.6">
      <c r="A115" s="29"/>
      <c r="B115" s="29"/>
      <c r="C115" s="1"/>
      <c r="D115" s="229"/>
      <c r="E115" s="291"/>
      <c r="F115" s="29"/>
      <c r="G115" s="29"/>
      <c r="H115" s="291"/>
      <c r="I115" s="291"/>
      <c r="J115" s="29"/>
      <c r="K115" s="29"/>
      <c r="L115" s="291"/>
      <c r="M115" s="291"/>
      <c r="N115" s="29"/>
      <c r="O115" s="29"/>
      <c r="P115" s="292"/>
      <c r="Q115" s="293"/>
      <c r="R115" s="29"/>
      <c r="S115" s="29"/>
      <c r="T115" s="294" t="s">
        <v>97</v>
      </c>
      <c r="U115" s="230"/>
      <c r="V115" s="30" t="s">
        <v>115</v>
      </c>
      <c r="W115" s="168">
        <f>W13+W114+W18+W21+W31+W37+W42+W59+W87+W101+W107+W108+W109+W110+W111+W112+W113</f>
        <v>2053913</v>
      </c>
      <c r="X115" s="153">
        <f>X8+X41+X49+X61+X93+X100+X102+X104</f>
        <v>1053347</v>
      </c>
      <c r="Y115" s="31"/>
      <c r="Z115" s="29"/>
    </row>
    <row r="116" spans="1:27" ht="31" x14ac:dyDescent="0.55000000000000004">
      <c r="A116" s="170"/>
      <c r="C116" s="29"/>
      <c r="U116" s="60" t="s">
        <v>263</v>
      </c>
      <c r="X116" s="209">
        <f>Etat_decaissement!P30</f>
        <v>1000566</v>
      </c>
      <c r="Y116" s="170"/>
    </row>
    <row r="117" spans="1:27" ht="21" x14ac:dyDescent="0.5">
      <c r="A117" s="170"/>
      <c r="G117" s="32"/>
      <c r="U117" s="60" t="s">
        <v>264</v>
      </c>
      <c r="W117" s="208"/>
      <c r="X117" s="203">
        <f>X115+X116</f>
        <v>2053913</v>
      </c>
      <c r="Y117" s="182"/>
      <c r="Z117" s="170"/>
      <c r="AA117" s="93"/>
    </row>
    <row r="118" spans="1:27" ht="21" x14ac:dyDescent="0.5">
      <c r="U118" s="150"/>
      <c r="V118" s="151"/>
      <c r="W118" s="47"/>
      <c r="X118" s="47"/>
    </row>
    <row r="119" spans="1:27" ht="21" x14ac:dyDescent="0.5">
      <c r="U119" s="150"/>
      <c r="V119" s="151"/>
    </row>
    <row r="120" spans="1:27" ht="21" x14ac:dyDescent="0.5">
      <c r="B120" s="61"/>
      <c r="U120" s="152"/>
      <c r="V120" s="151"/>
      <c r="Y120" s="32"/>
    </row>
    <row r="121" spans="1:27" x14ac:dyDescent="0.35">
      <c r="U121" s="60"/>
    </row>
    <row r="122" spans="1:27" x14ac:dyDescent="0.35">
      <c r="U122" s="32"/>
      <c r="W122" s="170"/>
    </row>
    <row r="124" spans="1:27" ht="21" x14ac:dyDescent="0.5">
      <c r="U124" s="58"/>
    </row>
    <row r="126" spans="1:27" x14ac:dyDescent="0.35">
      <c r="U126" s="32"/>
    </row>
  </sheetData>
  <mergeCells count="42">
    <mergeCell ref="A19:Z19"/>
    <mergeCell ref="A22:Z22"/>
    <mergeCell ref="A43:Z43"/>
    <mergeCell ref="A44:Z44"/>
    <mergeCell ref="A46:Z46"/>
    <mergeCell ref="A60:Z60"/>
    <mergeCell ref="A23:Z23"/>
    <mergeCell ref="A25:Z25"/>
    <mergeCell ref="B31:T31"/>
    <mergeCell ref="A32:Z32"/>
    <mergeCell ref="A34:Z34"/>
    <mergeCell ref="A38:Z38"/>
    <mergeCell ref="D115:E115"/>
    <mergeCell ref="H115:I115"/>
    <mergeCell ref="L115:M115"/>
    <mergeCell ref="P115:Q115"/>
    <mergeCell ref="T115:U115"/>
    <mergeCell ref="A14:Z14"/>
    <mergeCell ref="A6:A7"/>
    <mergeCell ref="B6:B7"/>
    <mergeCell ref="C6:C7"/>
    <mergeCell ref="D6:D7"/>
    <mergeCell ref="E6:G6"/>
    <mergeCell ref="H6:H7"/>
    <mergeCell ref="F1:Z1"/>
    <mergeCell ref="F2:G2"/>
    <mergeCell ref="D3:Z3"/>
    <mergeCell ref="F4:G4"/>
    <mergeCell ref="H4:Z4"/>
    <mergeCell ref="D5:Z5"/>
    <mergeCell ref="Z6:Z7"/>
    <mergeCell ref="I6:K6"/>
    <mergeCell ref="L6:L7"/>
    <mergeCell ref="M6:O6"/>
    <mergeCell ref="P6:P7"/>
    <mergeCell ref="Q6:S6"/>
    <mergeCell ref="T6:T7"/>
    <mergeCell ref="U6:U7"/>
    <mergeCell ref="V6:V7"/>
    <mergeCell ref="W6:W7"/>
    <mergeCell ref="X6:X7"/>
    <mergeCell ref="Y6:Y7"/>
  </mergeCells>
  <conditionalFormatting sqref="W1:W8 W59:W66 W68:W73 W57 W14:W39 W75:W100 W41:W50 W102:W1048576">
    <cfRule type="cellIs" dxfId="56" priority="78" operator="greaterThan">
      <formula>9999</formula>
    </cfRule>
  </conditionalFormatting>
  <conditionalFormatting sqref="B9:G12 I9:Z12">
    <cfRule type="cellIs" dxfId="55" priority="77" operator="greaterThan">
      <formula>9999</formula>
    </cfRule>
  </conditionalFormatting>
  <conditionalFormatting sqref="W13">
    <cfRule type="cellIs" dxfId="54" priority="75" operator="greaterThan">
      <formula>9999</formula>
    </cfRule>
  </conditionalFormatting>
  <conditionalFormatting sqref="W67">
    <cfRule type="cellIs" dxfId="53" priority="74" operator="greaterThan">
      <formula>9999</formula>
    </cfRule>
  </conditionalFormatting>
  <conditionalFormatting sqref="W74">
    <cfRule type="cellIs" dxfId="52" priority="73" operator="greaterThan">
      <formula>9999</formula>
    </cfRule>
  </conditionalFormatting>
  <conditionalFormatting sqref="W101">
    <cfRule type="cellIs" dxfId="51" priority="72" operator="greaterThan">
      <formula>9999</formula>
    </cfRule>
  </conditionalFormatting>
  <conditionalFormatting sqref="W51">
    <cfRule type="cellIs" dxfId="50" priority="70" operator="greaterThan">
      <formula>9999</formula>
    </cfRule>
  </conditionalFormatting>
  <conditionalFormatting sqref="W58">
    <cfRule type="cellIs" dxfId="49" priority="66" operator="greaterThan">
      <formula>9999</formula>
    </cfRule>
  </conditionalFormatting>
  <conditionalFormatting sqref="W52">
    <cfRule type="cellIs" dxfId="48" priority="62" operator="greaterThan">
      <formula>9999</formula>
    </cfRule>
  </conditionalFormatting>
  <conditionalFormatting sqref="W56">
    <cfRule type="cellIs" dxfId="47" priority="61" operator="greaterThan">
      <formula>9999</formula>
    </cfRule>
  </conditionalFormatting>
  <conditionalFormatting sqref="W55">
    <cfRule type="cellIs" dxfId="46" priority="60" operator="greaterThan">
      <formula>9999</formula>
    </cfRule>
  </conditionalFormatting>
  <conditionalFormatting sqref="W54">
    <cfRule type="cellIs" dxfId="45" priority="59" operator="greaterThan">
      <formula>9999</formula>
    </cfRule>
  </conditionalFormatting>
  <conditionalFormatting sqref="W53">
    <cfRule type="cellIs" dxfId="44" priority="58" operator="greaterThan">
      <formula>9999</formula>
    </cfRule>
  </conditionalFormatting>
  <conditionalFormatting sqref="E17">
    <cfRule type="cellIs" dxfId="43" priority="56" operator="greaterThan">
      <formula>9999</formula>
    </cfRule>
  </conditionalFormatting>
  <conditionalFormatting sqref="J64:K64">
    <cfRule type="cellIs" dxfId="42" priority="55" operator="greaterThan">
      <formula>9999</formula>
    </cfRule>
  </conditionalFormatting>
  <conditionalFormatting sqref="E66:G66 I66:K66">
    <cfRule type="cellIs" dxfId="41" priority="54" operator="greaterThan">
      <formula>9999</formula>
    </cfRule>
  </conditionalFormatting>
  <conditionalFormatting sqref="E77:G77 I77:K77">
    <cfRule type="cellIs" dxfId="40" priority="53" operator="greaterThan">
      <formula>9999</formula>
    </cfRule>
  </conditionalFormatting>
  <conditionalFormatting sqref="E78:G78 I78:K78">
    <cfRule type="cellIs" dxfId="39" priority="52" operator="greaterThan">
      <formula>9999</formula>
    </cfRule>
  </conditionalFormatting>
  <conditionalFormatting sqref="E79:G79 I79:K79">
    <cfRule type="cellIs" dxfId="38" priority="51" operator="greaterThan">
      <formula>9999</formula>
    </cfRule>
  </conditionalFormatting>
  <conditionalFormatting sqref="E80:G80 I80:K80">
    <cfRule type="cellIs" dxfId="37" priority="50" operator="greaterThan">
      <formula>9999</formula>
    </cfRule>
  </conditionalFormatting>
  <conditionalFormatting sqref="E81:G81 I81:K81">
    <cfRule type="cellIs" dxfId="36" priority="49" operator="greaterThan">
      <formula>9999</formula>
    </cfRule>
  </conditionalFormatting>
  <conditionalFormatting sqref="E82:G82 I82:K82">
    <cfRule type="cellIs" dxfId="35" priority="48" operator="greaterThan">
      <formula>9999</formula>
    </cfRule>
  </conditionalFormatting>
  <conditionalFormatting sqref="E83:G83 I83:K83">
    <cfRule type="cellIs" dxfId="34" priority="46" operator="greaterThan">
      <formula>9999</formula>
    </cfRule>
  </conditionalFormatting>
  <conditionalFormatting sqref="E84:G84 I84:K84">
    <cfRule type="cellIs" dxfId="33" priority="44" operator="greaterThan">
      <formula>9999</formula>
    </cfRule>
  </conditionalFormatting>
  <conditionalFormatting sqref="M85:O85 Q85:S85">
    <cfRule type="cellIs" dxfId="32" priority="43" operator="greaterThan">
      <formula>9999</formula>
    </cfRule>
  </conditionalFormatting>
  <conditionalFormatting sqref="E86:G86 I86:K86">
    <cfRule type="cellIs" dxfId="31" priority="42" operator="greaterThan">
      <formula>9999</formula>
    </cfRule>
  </conditionalFormatting>
  <conditionalFormatting sqref="E90:G90 I90:K90">
    <cfRule type="cellIs" dxfId="30" priority="41" operator="greaterThan">
      <formula>9999</formula>
    </cfRule>
  </conditionalFormatting>
  <conditionalFormatting sqref="E91:G91 I91:K91">
    <cfRule type="cellIs" dxfId="29" priority="40" operator="greaterThan">
      <formula>9999</formula>
    </cfRule>
  </conditionalFormatting>
  <conditionalFormatting sqref="E93:G94 I93:K94">
    <cfRule type="cellIs" dxfId="28" priority="39" operator="greaterThan">
      <formula>9999</formula>
    </cfRule>
  </conditionalFormatting>
  <conditionalFormatting sqref="E100:G100 I100:K100">
    <cfRule type="cellIs" dxfId="27" priority="37" operator="greaterThan">
      <formula>9999</formula>
    </cfRule>
  </conditionalFormatting>
  <conditionalFormatting sqref="E106:G106 I106:K106">
    <cfRule type="cellIs" dxfId="26" priority="36" operator="greaterThan">
      <formula>9999</formula>
    </cfRule>
  </conditionalFormatting>
  <conditionalFormatting sqref="M97:O97">
    <cfRule type="cellIs" dxfId="25" priority="33" operator="greaterThan">
      <formula>9999</formula>
    </cfRule>
  </conditionalFormatting>
  <conditionalFormatting sqref="Q97:S97">
    <cfRule type="cellIs" dxfId="24" priority="32" operator="greaterThan">
      <formula>9999</formula>
    </cfRule>
  </conditionalFormatting>
  <conditionalFormatting sqref="E64:F64">
    <cfRule type="cellIs" dxfId="23" priority="31" operator="greaterThan">
      <formula>9999</formula>
    </cfRule>
  </conditionalFormatting>
  <conditionalFormatting sqref="U108:U109">
    <cfRule type="cellIs" dxfId="22" priority="30" operator="greaterThan">
      <formula>9999</formula>
    </cfRule>
  </conditionalFormatting>
  <conditionalFormatting sqref="Y108:Y109">
    <cfRule type="cellIs" dxfId="21" priority="29" operator="greaterThan">
      <formula>9999</formula>
    </cfRule>
  </conditionalFormatting>
  <conditionalFormatting sqref="Z108:Z109">
    <cfRule type="cellIs" dxfId="20" priority="28" operator="greaterThan">
      <formula>9999</formula>
    </cfRule>
  </conditionalFormatting>
  <conditionalFormatting sqref="Y110">
    <cfRule type="cellIs" dxfId="19" priority="27" operator="greaterThan">
      <formula>9999</formula>
    </cfRule>
  </conditionalFormatting>
  <conditionalFormatting sqref="Z110">
    <cfRule type="cellIs" dxfId="18" priority="26" operator="greaterThan">
      <formula>9999</formula>
    </cfRule>
  </conditionalFormatting>
  <conditionalFormatting sqref="Y112">
    <cfRule type="cellIs" dxfId="17" priority="25" operator="greaterThan">
      <formula>9999</formula>
    </cfRule>
  </conditionalFormatting>
  <conditionalFormatting sqref="Z112">
    <cfRule type="cellIs" dxfId="16" priority="24" operator="greaterThan">
      <formula>9999</formula>
    </cfRule>
  </conditionalFormatting>
  <conditionalFormatting sqref="W40">
    <cfRule type="cellIs" dxfId="15" priority="17" operator="greaterThan">
      <formula>9999</formula>
    </cfRule>
  </conditionalFormatting>
  <conditionalFormatting sqref="G113">
    <cfRule type="cellIs" dxfId="14" priority="6" operator="greaterThan">
      <formula>9999</formula>
    </cfRule>
  </conditionalFormatting>
  <conditionalFormatting sqref="J114">
    <cfRule type="cellIs" dxfId="13" priority="1" operator="greaterThan">
      <formula>9999</formula>
    </cfRule>
  </conditionalFormatting>
  <conditionalFormatting sqref="G64">
    <cfRule type="cellIs" dxfId="12" priority="15" operator="greaterThan">
      <formula>9999</formula>
    </cfRule>
  </conditionalFormatting>
  <conditionalFormatting sqref="I64">
    <cfRule type="cellIs" dxfId="11" priority="14" operator="greaterThan">
      <formula>9999</formula>
    </cfRule>
  </conditionalFormatting>
  <conditionalFormatting sqref="G69">
    <cfRule type="cellIs" dxfId="10" priority="13" operator="greaterThan">
      <formula>9999</formula>
    </cfRule>
  </conditionalFormatting>
  <conditionalFormatting sqref="K85">
    <cfRule type="cellIs" dxfId="9" priority="12" operator="greaterThan">
      <formula>9999</formula>
    </cfRule>
  </conditionalFormatting>
  <conditionalFormatting sqref="G108">
    <cfRule type="cellIs" dxfId="8" priority="11" operator="greaterThan">
      <formula>9999</formula>
    </cfRule>
  </conditionalFormatting>
  <conditionalFormatting sqref="I109">
    <cfRule type="cellIs" dxfId="7" priority="10" operator="greaterThan">
      <formula>9999</formula>
    </cfRule>
  </conditionalFormatting>
  <conditionalFormatting sqref="J110">
    <cfRule type="cellIs" dxfId="6" priority="9" operator="greaterThan">
      <formula>9999</formula>
    </cfRule>
  </conditionalFormatting>
  <conditionalFormatting sqref="G111">
    <cfRule type="cellIs" dxfId="5" priority="8" operator="greaterThan">
      <formula>9999</formula>
    </cfRule>
  </conditionalFormatting>
  <conditionalFormatting sqref="F112">
    <cfRule type="cellIs" dxfId="4" priority="7" operator="greaterThan">
      <formula>9999</formula>
    </cfRule>
  </conditionalFormatting>
  <conditionalFormatting sqref="I113">
    <cfRule type="cellIs" dxfId="3" priority="5" operator="greaterThan">
      <formula>9999</formula>
    </cfRule>
  </conditionalFormatting>
  <conditionalFormatting sqref="J113">
    <cfRule type="cellIs" dxfId="2" priority="4" operator="greaterThan">
      <formula>9999</formula>
    </cfRule>
  </conditionalFormatting>
  <conditionalFormatting sqref="G114">
    <cfRule type="cellIs" dxfId="1" priority="3" operator="greaterThan">
      <formula>9999</formula>
    </cfRule>
  </conditionalFormatting>
  <conditionalFormatting sqref="I114">
    <cfRule type="cellIs" dxfId="0" priority="2" operator="greaterThan">
      <formula>9999</formula>
    </cfRule>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22" workbookViewId="0">
      <pane xSplit="1" topLeftCell="M1" activePane="topRight" state="frozen"/>
      <selection activeCell="A3" sqref="A3"/>
      <selection pane="topRight" activeCell="T36" sqref="T36"/>
    </sheetView>
  </sheetViews>
  <sheetFormatPr baseColWidth="10" defaultColWidth="8.81640625" defaultRowHeight="14.5" x14ac:dyDescent="0.35"/>
  <cols>
    <col min="1" max="1" width="37.90625" style="10" customWidth="1"/>
    <col min="2" max="2" width="5.1796875" style="10" customWidth="1"/>
    <col min="3" max="3" width="11.36328125" style="10" customWidth="1"/>
    <col min="4" max="4" width="7.54296875" style="97" customWidth="1"/>
    <col min="5" max="5" width="10.90625" style="97" customWidth="1"/>
    <col min="6" max="6" width="9.08984375" style="97" customWidth="1"/>
    <col min="7" max="8" width="7.54296875" style="97" customWidth="1"/>
    <col min="9" max="9" width="8.81640625" customWidth="1"/>
    <col min="13" max="13" width="11.453125" customWidth="1"/>
    <col min="14" max="14" width="8.81640625" customWidth="1"/>
    <col min="16" max="16" width="16.08984375" bestFit="1" customWidth="1"/>
    <col min="18" max="18" width="13.453125" bestFit="1" customWidth="1"/>
    <col min="19" max="19" width="14.453125" bestFit="1" customWidth="1"/>
    <col min="20" max="20" width="13.54296875" bestFit="1" customWidth="1"/>
    <col min="21" max="21" width="12.453125" bestFit="1" customWidth="1"/>
    <col min="22" max="22" width="14.453125" bestFit="1" customWidth="1"/>
    <col min="23" max="23" width="11" bestFit="1" customWidth="1"/>
    <col min="24" max="24" width="8.6328125" customWidth="1"/>
  </cols>
  <sheetData>
    <row r="1" spans="1:23" ht="15" customHeight="1" x14ac:dyDescent="0.35">
      <c r="A1" s="96" t="s">
        <v>119</v>
      </c>
      <c r="C1" s="96" t="s">
        <v>120</v>
      </c>
    </row>
    <row r="2" spans="1:23" ht="15" customHeight="1" x14ac:dyDescent="0.35">
      <c r="A2" s="98" t="s">
        <v>121</v>
      </c>
      <c r="B2" s="99" t="s">
        <v>122</v>
      </c>
      <c r="C2" s="100" t="s">
        <v>123</v>
      </c>
      <c r="D2" s="248" t="s">
        <v>124</v>
      </c>
      <c r="E2" s="248"/>
      <c r="F2" s="248"/>
      <c r="G2" s="248"/>
      <c r="H2" s="248"/>
      <c r="I2" s="248"/>
      <c r="J2" s="248"/>
      <c r="L2" s="249" t="s">
        <v>125</v>
      </c>
      <c r="M2" s="249"/>
      <c r="N2" s="249"/>
      <c r="O2" s="249"/>
      <c r="P2" s="249"/>
    </row>
    <row r="3" spans="1:23" ht="43" customHeight="1" x14ac:dyDescent="0.35">
      <c r="A3" s="98"/>
      <c r="B3" s="98"/>
      <c r="C3" s="98"/>
      <c r="D3" s="101">
        <v>2019</v>
      </c>
      <c r="E3" s="101">
        <v>2020</v>
      </c>
      <c r="F3" s="101">
        <v>2021</v>
      </c>
      <c r="G3" s="101">
        <v>2022</v>
      </c>
      <c r="H3" s="101">
        <v>2023</v>
      </c>
      <c r="I3" s="101" t="s">
        <v>126</v>
      </c>
      <c r="J3" s="101" t="s">
        <v>127</v>
      </c>
      <c r="L3" s="98" t="s">
        <v>128</v>
      </c>
      <c r="M3" s="102" t="s">
        <v>129</v>
      </c>
      <c r="N3" s="102" t="s">
        <v>130</v>
      </c>
      <c r="O3" s="102" t="s">
        <v>240</v>
      </c>
      <c r="P3" s="102" t="s">
        <v>241</v>
      </c>
    </row>
    <row r="4" spans="1:23" s="106" customFormat="1" ht="15" customHeight="1" x14ac:dyDescent="0.35">
      <c r="A4" s="103" t="s">
        <v>131</v>
      </c>
      <c r="B4" s="104"/>
      <c r="C4" s="104">
        <v>600000</v>
      </c>
      <c r="D4" s="104"/>
      <c r="E4" s="104"/>
      <c r="F4" s="104">
        <v>600000</v>
      </c>
      <c r="G4" s="104"/>
      <c r="H4" s="104"/>
      <c r="I4" s="104">
        <f>SUM(D4:H4)</f>
        <v>600000</v>
      </c>
      <c r="J4" s="105">
        <f t="shared" ref="J4:J27" si="0">I4/C4</f>
        <v>1</v>
      </c>
      <c r="L4" s="104"/>
      <c r="M4" s="104"/>
      <c r="N4" s="104"/>
      <c r="O4" s="104"/>
      <c r="P4" s="104">
        <f t="shared" ref="P4:P9" si="1">SUM(K4:O4)</f>
        <v>0</v>
      </c>
      <c r="S4" s="154"/>
    </row>
    <row r="5" spans="1:23" s="106" customFormat="1" ht="15" customHeight="1" x14ac:dyDescent="0.35">
      <c r="A5" s="107" t="s">
        <v>132</v>
      </c>
      <c r="B5" s="104"/>
      <c r="C5" s="104">
        <v>200000</v>
      </c>
      <c r="D5" s="104"/>
      <c r="E5" s="104"/>
      <c r="F5" s="104"/>
      <c r="G5" s="104"/>
      <c r="H5" s="104"/>
      <c r="I5" s="104">
        <f>SUM(D5:H5)</f>
        <v>0</v>
      </c>
      <c r="J5" s="105">
        <f t="shared" si="0"/>
        <v>0</v>
      </c>
      <c r="L5" s="104"/>
      <c r="M5" s="104"/>
      <c r="N5" s="104"/>
      <c r="O5" s="104"/>
      <c r="P5" s="104">
        <v>124829.46793997299</v>
      </c>
    </row>
    <row r="6" spans="1:23" ht="15" customHeight="1" x14ac:dyDescent="0.35">
      <c r="A6" s="108" t="s">
        <v>133</v>
      </c>
      <c r="B6" s="108">
        <v>15</v>
      </c>
      <c r="C6" s="109">
        <v>80470</v>
      </c>
      <c r="D6" s="110"/>
      <c r="E6" s="110"/>
      <c r="F6" s="110"/>
      <c r="G6" s="110"/>
      <c r="H6" s="110"/>
      <c r="I6" s="110">
        <f t="shared" ref="I6:I27" si="2">SUM(D6:H6)</f>
        <v>0</v>
      </c>
      <c r="J6" s="111">
        <f>I6/C6</f>
        <v>0</v>
      </c>
      <c r="L6" s="110"/>
      <c r="M6" s="110">
        <v>0</v>
      </c>
      <c r="N6" s="110">
        <v>0</v>
      </c>
      <c r="O6" s="110">
        <v>0</v>
      </c>
      <c r="P6" s="145">
        <f t="shared" si="1"/>
        <v>0</v>
      </c>
      <c r="S6" s="146"/>
      <c r="U6" s="146"/>
    </row>
    <row r="7" spans="1:23" ht="15" customHeight="1" x14ac:dyDescent="0.35">
      <c r="A7" s="108" t="s">
        <v>134</v>
      </c>
      <c r="B7" s="108">
        <v>170</v>
      </c>
      <c r="C7" s="109">
        <v>405000</v>
      </c>
      <c r="D7" s="110"/>
      <c r="E7" s="110"/>
      <c r="F7" s="110"/>
      <c r="G7" s="110"/>
      <c r="H7" s="110"/>
      <c r="I7" s="110">
        <f t="shared" si="2"/>
        <v>0</v>
      </c>
      <c r="J7" s="111">
        <f t="shared" si="0"/>
        <v>0</v>
      </c>
      <c r="L7" s="110"/>
      <c r="M7" s="110">
        <v>0</v>
      </c>
      <c r="N7" s="110">
        <v>0</v>
      </c>
      <c r="O7" s="110">
        <v>0</v>
      </c>
      <c r="P7" s="145">
        <f t="shared" si="1"/>
        <v>0</v>
      </c>
      <c r="S7" s="146"/>
      <c r="U7" s="146"/>
    </row>
    <row r="8" spans="1:23" ht="15" customHeight="1" x14ac:dyDescent="0.35">
      <c r="A8" s="108" t="s">
        <v>135</v>
      </c>
      <c r="B8" s="108">
        <v>150</v>
      </c>
      <c r="C8" s="109">
        <v>110199</v>
      </c>
      <c r="D8" s="110"/>
      <c r="E8" s="110"/>
      <c r="F8" s="110"/>
      <c r="G8" s="110"/>
      <c r="H8" s="110"/>
      <c r="I8" s="110">
        <f t="shared" si="2"/>
        <v>0</v>
      </c>
      <c r="J8" s="111">
        <f t="shared" si="0"/>
        <v>0</v>
      </c>
      <c r="L8" s="110"/>
      <c r="M8" s="110">
        <v>0</v>
      </c>
      <c r="N8" s="110">
        <v>0</v>
      </c>
      <c r="O8" s="110">
        <v>0</v>
      </c>
      <c r="P8" s="110">
        <f t="shared" si="1"/>
        <v>0</v>
      </c>
      <c r="S8" s="146"/>
      <c r="U8" s="146"/>
    </row>
    <row r="9" spans="1:23" ht="15" customHeight="1" x14ac:dyDescent="0.35">
      <c r="A9" s="108" t="s">
        <v>136</v>
      </c>
      <c r="B9" s="108">
        <v>220</v>
      </c>
      <c r="C9" s="109">
        <v>245000</v>
      </c>
      <c r="D9" s="110"/>
      <c r="E9" s="110"/>
      <c r="F9" s="110"/>
      <c r="G9" s="110"/>
      <c r="H9" s="110"/>
      <c r="I9" s="110">
        <f t="shared" si="2"/>
        <v>0</v>
      </c>
      <c r="J9" s="111">
        <f t="shared" si="0"/>
        <v>0</v>
      </c>
      <c r="L9" s="110"/>
      <c r="M9" s="110">
        <v>0</v>
      </c>
      <c r="N9" s="110">
        <v>0</v>
      </c>
      <c r="O9" s="110">
        <v>0</v>
      </c>
      <c r="P9" s="145">
        <f t="shared" si="1"/>
        <v>0</v>
      </c>
      <c r="S9" s="147"/>
      <c r="U9" s="147"/>
      <c r="W9" s="146"/>
    </row>
    <row r="10" spans="1:23" s="106" customFormat="1" ht="15" customHeight="1" x14ac:dyDescent="0.35">
      <c r="A10" s="103" t="s">
        <v>137</v>
      </c>
      <c r="B10" s="104"/>
      <c r="C10" s="104">
        <f>SUM(C6:C9)</f>
        <v>840669</v>
      </c>
      <c r="D10" s="104"/>
      <c r="E10" s="104"/>
      <c r="F10" s="104"/>
      <c r="G10" s="104"/>
      <c r="H10" s="104"/>
      <c r="I10" s="104">
        <f t="shared" si="2"/>
        <v>0</v>
      </c>
      <c r="J10" s="105">
        <f t="shared" si="0"/>
        <v>0</v>
      </c>
      <c r="L10" s="104">
        <f>SUM(L6:L9)</f>
        <v>0</v>
      </c>
      <c r="M10" s="104">
        <f>SUM(M6:M9)</f>
        <v>0</v>
      </c>
      <c r="N10" s="104">
        <f>SUM(N6:N9)</f>
        <v>0</v>
      </c>
      <c r="O10" s="104">
        <f>SUM(O6:O9)</f>
        <v>0</v>
      </c>
      <c r="P10" s="104">
        <f>SUM(P6:P9)</f>
        <v>0</v>
      </c>
    </row>
    <row r="11" spans="1:23" ht="15" customHeight="1" x14ac:dyDescent="0.35">
      <c r="A11" s="108" t="s">
        <v>138</v>
      </c>
      <c r="B11" s="108">
        <v>4</v>
      </c>
      <c r="C11" s="109">
        <v>500000</v>
      </c>
      <c r="D11" s="110"/>
      <c r="E11" s="110"/>
      <c r="F11" s="110"/>
      <c r="G11" s="110"/>
      <c r="H11" s="110"/>
      <c r="I11" s="110">
        <f t="shared" si="2"/>
        <v>0</v>
      </c>
      <c r="J11" s="111">
        <f t="shared" si="0"/>
        <v>0</v>
      </c>
      <c r="L11" s="110"/>
      <c r="M11" s="110">
        <v>0</v>
      </c>
      <c r="N11" s="110">
        <v>0</v>
      </c>
      <c r="O11" s="112">
        <v>0</v>
      </c>
      <c r="P11" s="145">
        <f>SUM(K11:O11)</f>
        <v>0</v>
      </c>
      <c r="S11" s="146"/>
    </row>
    <row r="12" spans="1:23" ht="15" customHeight="1" x14ac:dyDescent="0.35">
      <c r="A12" s="108" t="s">
        <v>139</v>
      </c>
      <c r="B12" s="108">
        <v>19</v>
      </c>
      <c r="C12" s="109">
        <v>190000</v>
      </c>
      <c r="D12" s="110"/>
      <c r="E12" s="110"/>
      <c r="F12" s="110"/>
      <c r="G12" s="110"/>
      <c r="H12" s="110"/>
      <c r="I12" s="110">
        <f t="shared" si="2"/>
        <v>0</v>
      </c>
      <c r="J12" s="111">
        <f t="shared" si="0"/>
        <v>0</v>
      </c>
      <c r="L12" s="110">
        <v>13980</v>
      </c>
      <c r="M12" s="110">
        <v>0</v>
      </c>
      <c r="N12" s="173">
        <v>0</v>
      </c>
      <c r="O12" s="173">
        <v>0</v>
      </c>
      <c r="P12" s="110">
        <f>SUM(K12:M12)</f>
        <v>13980</v>
      </c>
      <c r="S12" s="146"/>
    </row>
    <row r="13" spans="1:23" ht="15" customHeight="1" x14ac:dyDescent="0.35">
      <c r="A13" s="113" t="s">
        <v>140</v>
      </c>
      <c r="B13" s="108">
        <v>3</v>
      </c>
      <c r="C13" s="109">
        <v>1200000</v>
      </c>
      <c r="D13" s="114"/>
      <c r="E13" s="114"/>
      <c r="F13" s="110"/>
      <c r="G13" s="110"/>
      <c r="H13" s="110"/>
      <c r="I13" s="110">
        <f t="shared" si="2"/>
        <v>0</v>
      </c>
      <c r="J13" s="111">
        <f t="shared" si="0"/>
        <v>0</v>
      </c>
      <c r="L13" s="110">
        <v>0</v>
      </c>
      <c r="M13" s="110">
        <v>0</v>
      </c>
      <c r="N13" s="110">
        <v>300000</v>
      </c>
      <c r="O13" s="110">
        <v>300000</v>
      </c>
      <c r="P13" s="112">
        <f>SUM(K13:O13)</f>
        <v>600000</v>
      </c>
      <c r="S13" s="146"/>
    </row>
    <row r="14" spans="1:23" s="106" customFormat="1" ht="15" customHeight="1" x14ac:dyDescent="0.35">
      <c r="A14" s="107" t="s">
        <v>141</v>
      </c>
      <c r="B14" s="107"/>
      <c r="C14" s="115">
        <f>SUM(C11:C13)</f>
        <v>1890000</v>
      </c>
      <c r="D14" s="104"/>
      <c r="E14" s="104"/>
      <c r="F14" s="104"/>
      <c r="G14" s="104"/>
      <c r="H14" s="104"/>
      <c r="I14" s="104">
        <f t="shared" si="2"/>
        <v>0</v>
      </c>
      <c r="J14" s="105">
        <f t="shared" si="0"/>
        <v>0</v>
      </c>
      <c r="L14" s="104">
        <f>SUM(L11:L13)</f>
        <v>13980</v>
      </c>
      <c r="M14" s="104">
        <f>SUM(M11:M13)</f>
        <v>0</v>
      </c>
      <c r="N14" s="104">
        <f>SUM(N11:N13)</f>
        <v>300000</v>
      </c>
      <c r="O14" s="104">
        <f>SUM(O11:O13)</f>
        <v>300000</v>
      </c>
      <c r="P14" s="104">
        <f>P11+P12+P13</f>
        <v>613980</v>
      </c>
      <c r="R14" s="171"/>
    </row>
    <row r="15" spans="1:23" ht="15" customHeight="1" x14ac:dyDescent="0.35">
      <c r="A15" s="108" t="s">
        <v>142</v>
      </c>
      <c r="B15" s="108"/>
      <c r="C15" s="109">
        <v>428659</v>
      </c>
      <c r="D15" s="110"/>
      <c r="E15" s="110"/>
      <c r="F15" s="110"/>
      <c r="G15" s="110"/>
      <c r="H15" s="110"/>
      <c r="I15" s="110">
        <f t="shared" si="2"/>
        <v>0</v>
      </c>
      <c r="J15" s="111">
        <f t="shared" si="0"/>
        <v>0</v>
      </c>
      <c r="K15" s="116"/>
      <c r="L15" s="110"/>
      <c r="M15" s="110">
        <v>0</v>
      </c>
      <c r="N15" s="110">
        <v>0</v>
      </c>
      <c r="O15" s="110"/>
      <c r="P15" s="172">
        <f>SUM(K15:O15)</f>
        <v>0</v>
      </c>
      <c r="R15" s="117"/>
      <c r="S15" s="97"/>
    </row>
    <row r="16" spans="1:23" s="123" customFormat="1" ht="15" customHeight="1" x14ac:dyDescent="0.35">
      <c r="A16" s="118" t="s">
        <v>143</v>
      </c>
      <c r="B16" s="118">
        <v>225</v>
      </c>
      <c r="C16" s="119">
        <v>33699</v>
      </c>
      <c r="D16" s="120"/>
      <c r="E16" s="120"/>
      <c r="F16" s="120"/>
      <c r="G16" s="120"/>
      <c r="H16" s="120"/>
      <c r="I16" s="120">
        <f t="shared" si="2"/>
        <v>0</v>
      </c>
      <c r="J16" s="121">
        <f t="shared" si="0"/>
        <v>0</v>
      </c>
      <c r="K16" s="122"/>
      <c r="L16" s="120">
        <v>11734.716157205199</v>
      </c>
      <c r="M16" s="120">
        <v>0</v>
      </c>
      <c r="N16" s="120">
        <v>0</v>
      </c>
      <c r="O16" s="120">
        <v>0</v>
      </c>
      <c r="P16" s="120">
        <f>SUM(K16:O16)</f>
        <v>11734.716157205199</v>
      </c>
      <c r="R16" s="124"/>
    </row>
    <row r="17" spans="1:22" s="106" customFormat="1" ht="15" customHeight="1" x14ac:dyDescent="0.35">
      <c r="A17" s="107" t="s">
        <v>144</v>
      </c>
      <c r="B17" s="107"/>
      <c r="C17" s="115">
        <f>SUM(C15:C16)</f>
        <v>462358</v>
      </c>
      <c r="D17" s="104"/>
      <c r="E17" s="104"/>
      <c r="F17" s="104"/>
      <c r="G17" s="104"/>
      <c r="H17" s="104"/>
      <c r="I17" s="104">
        <f t="shared" si="2"/>
        <v>0</v>
      </c>
      <c r="J17" s="105">
        <f t="shared" si="0"/>
        <v>0</v>
      </c>
      <c r="L17" s="104">
        <f>SUM(L15:L16)</f>
        <v>11734.716157205199</v>
      </c>
      <c r="M17" s="104">
        <f>SUM(M15:M16)</f>
        <v>0</v>
      </c>
      <c r="N17" s="104">
        <f>SUM(N15:N16)</f>
        <v>0</v>
      </c>
      <c r="O17" s="104">
        <f>SUM(O15:O16)</f>
        <v>0</v>
      </c>
      <c r="P17" s="104">
        <f>P15+P16</f>
        <v>11734.716157205199</v>
      </c>
      <c r="R17" s="125"/>
      <c r="T17" s="123"/>
    </row>
    <row r="18" spans="1:22" ht="15" customHeight="1" x14ac:dyDescent="0.35">
      <c r="A18" s="108" t="s">
        <v>145</v>
      </c>
      <c r="B18" s="108"/>
      <c r="C18" s="109">
        <v>79913</v>
      </c>
      <c r="D18" s="110"/>
      <c r="E18" s="110"/>
      <c r="F18" s="110"/>
      <c r="G18" s="110"/>
      <c r="H18" s="110"/>
      <c r="I18" s="110">
        <f t="shared" si="2"/>
        <v>0</v>
      </c>
      <c r="J18" s="111">
        <f t="shared" si="0"/>
        <v>0</v>
      </c>
      <c r="L18" s="110"/>
      <c r="M18" s="110">
        <v>0</v>
      </c>
      <c r="N18" s="110">
        <v>0</v>
      </c>
      <c r="O18" s="112">
        <v>0</v>
      </c>
      <c r="P18" s="110">
        <f>SUM(K18:O18)</f>
        <v>0</v>
      </c>
      <c r="R18" s="124"/>
      <c r="S18" s="97"/>
      <c r="T18" s="97"/>
      <c r="U18" s="146"/>
    </row>
    <row r="19" spans="1:22" ht="15" customHeight="1" x14ac:dyDescent="0.35">
      <c r="A19" s="108" t="s">
        <v>146</v>
      </c>
      <c r="B19" s="108"/>
      <c r="C19" s="109">
        <v>79913</v>
      </c>
      <c r="D19" s="110"/>
      <c r="E19" s="110"/>
      <c r="F19" s="110"/>
      <c r="G19" s="110"/>
      <c r="H19" s="110"/>
      <c r="I19" s="110">
        <f t="shared" si="2"/>
        <v>0</v>
      </c>
      <c r="J19" s="111">
        <f t="shared" si="0"/>
        <v>0</v>
      </c>
      <c r="L19" s="110"/>
      <c r="M19" s="110">
        <v>0</v>
      </c>
      <c r="N19" s="110">
        <v>0</v>
      </c>
      <c r="O19" s="112">
        <v>0</v>
      </c>
      <c r="P19" s="110">
        <f>SUM(K19:O19)</f>
        <v>0</v>
      </c>
      <c r="R19" s="117"/>
      <c r="S19" s="97"/>
      <c r="T19" s="97"/>
      <c r="U19" s="146"/>
    </row>
    <row r="20" spans="1:22" ht="15" customHeight="1" x14ac:dyDescent="0.35">
      <c r="A20" s="108" t="s">
        <v>147</v>
      </c>
      <c r="B20" s="108"/>
      <c r="C20" s="109">
        <v>79913</v>
      </c>
      <c r="D20" s="110"/>
      <c r="E20" s="110"/>
      <c r="F20" s="110"/>
      <c r="G20" s="110"/>
      <c r="H20" s="110"/>
      <c r="I20" s="110">
        <f t="shared" si="2"/>
        <v>0</v>
      </c>
      <c r="J20" s="111">
        <f t="shared" si="0"/>
        <v>0</v>
      </c>
      <c r="L20" s="110"/>
      <c r="M20" s="110">
        <v>0</v>
      </c>
      <c r="N20" s="110">
        <v>0</v>
      </c>
      <c r="O20" s="112">
        <v>2803</v>
      </c>
      <c r="P20" s="110">
        <f>SUM(K20:O20)</f>
        <v>2803</v>
      </c>
      <c r="S20" s="97"/>
      <c r="T20" s="97"/>
    </row>
    <row r="21" spans="1:22" ht="15" customHeight="1" x14ac:dyDescent="0.35">
      <c r="A21" s="108" t="s">
        <v>148</v>
      </c>
      <c r="B21" s="108"/>
      <c r="C21" s="109">
        <v>0</v>
      </c>
      <c r="D21" s="110"/>
      <c r="E21" s="110"/>
      <c r="F21" s="110"/>
      <c r="G21" s="110"/>
      <c r="H21" s="110"/>
      <c r="I21" s="110">
        <f t="shared" si="2"/>
        <v>0</v>
      </c>
      <c r="J21" s="111"/>
      <c r="L21" s="110"/>
      <c r="M21" s="110"/>
      <c r="N21" s="110"/>
      <c r="O21" s="112"/>
      <c r="P21" s="110">
        <f>SUM(K21:O21)</f>
        <v>0</v>
      </c>
      <c r="S21" s="97"/>
    </row>
    <row r="22" spans="1:22" s="106" customFormat="1" ht="15" customHeight="1" x14ac:dyDescent="0.35">
      <c r="A22" s="107" t="s">
        <v>149</v>
      </c>
      <c r="B22" s="107"/>
      <c r="C22" s="104">
        <f>SUM(C18:C21)</f>
        <v>239739</v>
      </c>
      <c r="D22" s="104">
        <f>SUM(D18:D21)*15000</f>
        <v>0</v>
      </c>
      <c r="E22" s="104">
        <f>SUM(E18:E21)*15000</f>
        <v>0</v>
      </c>
      <c r="F22" s="104">
        <f>SUM(F18:F21)*15000</f>
        <v>0</v>
      </c>
      <c r="G22" s="104">
        <f>SUM(G18:G21)*15000</f>
        <v>0</v>
      </c>
      <c r="H22" s="104">
        <f>SUM(H18:H21)*15000</f>
        <v>0</v>
      </c>
      <c r="I22" s="104">
        <f t="shared" si="2"/>
        <v>0</v>
      </c>
      <c r="J22" s="105">
        <f t="shared" si="0"/>
        <v>0</v>
      </c>
      <c r="L22" s="104">
        <f>L18+L19+L20+L21</f>
        <v>0</v>
      </c>
      <c r="M22" s="104">
        <f>M18+M19+M20+M21</f>
        <v>0</v>
      </c>
      <c r="N22" s="104">
        <f>N18+N19+N20+N21</f>
        <v>0</v>
      </c>
      <c r="O22" s="104">
        <f>O18+O19+O20+O21</f>
        <v>2803</v>
      </c>
      <c r="P22" s="104">
        <f>SUM(P18:P21)</f>
        <v>2803</v>
      </c>
    </row>
    <row r="23" spans="1:22" ht="15" customHeight="1" x14ac:dyDescent="0.35">
      <c r="A23" s="108" t="s">
        <v>150</v>
      </c>
      <c r="B23" s="108"/>
      <c r="C23" s="109">
        <v>100000</v>
      </c>
      <c r="D23" s="110"/>
      <c r="E23" s="110"/>
      <c r="F23" s="110"/>
      <c r="G23" s="110"/>
      <c r="H23" s="110"/>
      <c r="I23" s="110">
        <f t="shared" si="2"/>
        <v>0</v>
      </c>
      <c r="J23" s="111">
        <f t="shared" si="0"/>
        <v>0</v>
      </c>
      <c r="L23" s="110"/>
      <c r="M23" s="110">
        <v>0</v>
      </c>
      <c r="N23" s="110">
        <v>0</v>
      </c>
      <c r="O23" s="112">
        <v>0</v>
      </c>
      <c r="P23" s="110">
        <f>SUM(K23:O23)</f>
        <v>0</v>
      </c>
    </row>
    <row r="24" spans="1:22" ht="15" customHeight="1" x14ac:dyDescent="0.35">
      <c r="A24" s="108" t="s">
        <v>151</v>
      </c>
      <c r="B24" s="108"/>
      <c r="C24" s="109">
        <v>275000</v>
      </c>
      <c r="D24" s="110"/>
      <c r="E24" s="110"/>
      <c r="F24" s="110"/>
      <c r="G24" s="110"/>
      <c r="H24" s="110"/>
      <c r="I24" s="110">
        <f t="shared" si="2"/>
        <v>0</v>
      </c>
      <c r="J24" s="111">
        <f t="shared" si="0"/>
        <v>0</v>
      </c>
      <c r="L24" s="110">
        <v>0</v>
      </c>
      <c r="M24" s="110">
        <v>0</v>
      </c>
      <c r="N24" s="110"/>
      <c r="O24" s="112">
        <v>0</v>
      </c>
      <c r="P24" s="110">
        <f>SUM(K24:O24)</f>
        <v>0</v>
      </c>
      <c r="R24" s="97"/>
      <c r="V24" s="146"/>
    </row>
    <row r="25" spans="1:22" ht="15" customHeight="1" x14ac:dyDescent="0.35">
      <c r="A25" s="108" t="s">
        <v>152</v>
      </c>
      <c r="B25" s="108"/>
      <c r="C25" s="109">
        <v>150000</v>
      </c>
      <c r="D25" s="110"/>
      <c r="E25" s="110"/>
      <c r="F25" s="110"/>
      <c r="G25" s="110"/>
      <c r="H25" s="110"/>
      <c r="I25" s="110">
        <f t="shared" si="2"/>
        <v>0</v>
      </c>
      <c r="J25" s="111">
        <f t="shared" si="0"/>
        <v>0</v>
      </c>
      <c r="L25" s="110"/>
      <c r="M25" s="110">
        <v>0</v>
      </c>
      <c r="N25" s="112">
        <v>100000</v>
      </c>
      <c r="O25" s="112">
        <v>0</v>
      </c>
      <c r="P25" s="110">
        <f>SUM(K25:O25)</f>
        <v>100000</v>
      </c>
      <c r="R25" s="97"/>
    </row>
    <row r="26" spans="1:22" ht="15" customHeight="1" x14ac:dyDescent="0.35">
      <c r="A26" s="108" t="s">
        <v>153</v>
      </c>
      <c r="B26" s="108"/>
      <c r="C26" s="109">
        <v>200000</v>
      </c>
      <c r="D26" s="110"/>
      <c r="E26" s="110"/>
      <c r="F26" s="110"/>
      <c r="G26" s="110"/>
      <c r="H26" s="110"/>
      <c r="I26" s="110">
        <f t="shared" si="2"/>
        <v>0</v>
      </c>
      <c r="J26" s="111">
        <f t="shared" si="0"/>
        <v>0</v>
      </c>
      <c r="L26" s="110">
        <v>0</v>
      </c>
      <c r="M26" s="110">
        <v>0</v>
      </c>
      <c r="N26" s="112">
        <v>200000</v>
      </c>
      <c r="O26" s="112">
        <v>0</v>
      </c>
      <c r="P26" s="110">
        <f>SUM(K26:N26)</f>
        <v>200000</v>
      </c>
      <c r="R26" s="97"/>
      <c r="T26" s="147"/>
      <c r="V26" s="147">
        <f>V24*T24</f>
        <v>0</v>
      </c>
    </row>
    <row r="27" spans="1:22" s="106" customFormat="1" ht="15" customHeight="1" x14ac:dyDescent="0.35">
      <c r="A27" s="107" t="s">
        <v>154</v>
      </c>
      <c r="B27" s="107"/>
      <c r="C27" s="115">
        <f>SUM(C23:C26)</f>
        <v>725000</v>
      </c>
      <c r="D27" s="104"/>
      <c r="E27" s="104"/>
      <c r="F27" s="104"/>
      <c r="G27" s="104"/>
      <c r="H27" s="104"/>
      <c r="I27" s="104">
        <f t="shared" si="2"/>
        <v>0</v>
      </c>
      <c r="J27" s="105">
        <f t="shared" si="0"/>
        <v>0</v>
      </c>
      <c r="L27" s="104">
        <f>SUM(L23:L26)</f>
        <v>0</v>
      </c>
      <c r="M27" s="104">
        <f>SUM(M23:M26)</f>
        <v>0</v>
      </c>
      <c r="N27" s="104">
        <f>SUM(N23:N26)</f>
        <v>300000</v>
      </c>
      <c r="O27" s="104">
        <f>SUM(O23:O26)</f>
        <v>0</v>
      </c>
      <c r="P27" s="104">
        <f>P23+P24+P25+P26</f>
        <v>300000</v>
      </c>
      <c r="R27" s="144"/>
      <c r="T27" s="174"/>
      <c r="V27" s="175"/>
    </row>
    <row r="28" spans="1:22" ht="15" customHeight="1" x14ac:dyDescent="0.35">
      <c r="A28" s="108"/>
      <c r="B28" s="108"/>
      <c r="C28" s="108"/>
      <c r="D28" s="110"/>
      <c r="E28" s="110"/>
      <c r="F28" s="110"/>
      <c r="G28" s="110"/>
      <c r="H28" s="110"/>
      <c r="I28" s="110"/>
      <c r="J28" s="110"/>
      <c r="L28" s="110"/>
      <c r="M28" s="110"/>
      <c r="N28" s="110"/>
      <c r="O28" s="110"/>
      <c r="P28" s="110"/>
      <c r="T28" s="147">
        <f>T26-T27</f>
        <v>0</v>
      </c>
      <c r="V28" s="147"/>
    </row>
    <row r="29" spans="1:22" ht="15" customHeight="1" x14ac:dyDescent="0.35">
      <c r="A29" s="108"/>
      <c r="B29" s="126"/>
      <c r="C29" s="126">
        <f t="shared" ref="C29:I29" si="3">C4+C5+C10+C14+C17+C22+C27</f>
        <v>4957766</v>
      </c>
      <c r="D29" s="127">
        <f t="shared" si="3"/>
        <v>0</v>
      </c>
      <c r="E29" s="127">
        <f t="shared" si="3"/>
        <v>0</v>
      </c>
      <c r="F29" s="126">
        <f t="shared" si="3"/>
        <v>600000</v>
      </c>
      <c r="G29" s="126">
        <f t="shared" si="3"/>
        <v>0</v>
      </c>
      <c r="H29" s="127">
        <f t="shared" si="3"/>
        <v>0</v>
      </c>
      <c r="I29" s="127">
        <f t="shared" si="3"/>
        <v>600000</v>
      </c>
      <c r="J29" s="105">
        <f>I29/C29</f>
        <v>0.12102225074761495</v>
      </c>
      <c r="L29" s="127">
        <f>L10+L14+L17+L22</f>
        <v>25714.716157205199</v>
      </c>
      <c r="M29" s="127">
        <f>M10+M14+M17+M22</f>
        <v>0</v>
      </c>
      <c r="N29" s="127">
        <f>N10+N14+N17+N22</f>
        <v>300000</v>
      </c>
      <c r="O29" s="127">
        <f>O10+O14+O17+O22</f>
        <v>302803</v>
      </c>
      <c r="P29" s="169">
        <f>P5+P10+P14+P17+P22+P27</f>
        <v>1053347.1840971783</v>
      </c>
      <c r="T29" s="147"/>
    </row>
    <row r="30" spans="1:22" x14ac:dyDescent="0.35">
      <c r="A30" s="10" t="s">
        <v>306</v>
      </c>
      <c r="M30" s="128"/>
      <c r="O30" s="129"/>
      <c r="P30" s="146">
        <v>1000566</v>
      </c>
      <c r="R30" s="147"/>
      <c r="U30" s="146"/>
    </row>
    <row r="31" spans="1:22" x14ac:dyDescent="0.35">
      <c r="L31" s="250"/>
      <c r="M31" s="250"/>
      <c r="N31" s="250"/>
      <c r="O31" s="250"/>
      <c r="P31" s="97">
        <f>P29+P30</f>
        <v>2053913.1840971783</v>
      </c>
      <c r="R31" s="147"/>
      <c r="S31" s="146"/>
      <c r="U31" s="147"/>
    </row>
    <row r="32" spans="1:22" x14ac:dyDescent="0.35">
      <c r="L32" s="250"/>
      <c r="M32" s="250"/>
      <c r="N32" s="250"/>
      <c r="O32" s="250"/>
      <c r="P32" s="97"/>
      <c r="R32" s="146"/>
      <c r="U32" s="147"/>
    </row>
    <row r="33" spans="1:22" x14ac:dyDescent="0.35">
      <c r="L33" s="130"/>
      <c r="M33" s="130"/>
      <c r="N33" s="130"/>
      <c r="O33" s="130"/>
      <c r="P33" s="97"/>
      <c r="R33" s="146"/>
    </row>
    <row r="34" spans="1:22" x14ac:dyDescent="0.35">
      <c r="P34" s="131"/>
      <c r="R34" s="147"/>
      <c r="S34" s="146"/>
      <c r="T34" s="147">
        <f>R34*T24</f>
        <v>0</v>
      </c>
    </row>
    <row r="35" spans="1:22" x14ac:dyDescent="0.35">
      <c r="A35" s="182"/>
      <c r="P35" s="133"/>
      <c r="R35" s="147"/>
      <c r="V35" s="146">
        <f>V34*T24</f>
        <v>0</v>
      </c>
    </row>
    <row r="36" spans="1:22" x14ac:dyDescent="0.35">
      <c r="P36" s="132"/>
      <c r="R36" s="133"/>
      <c r="S36" s="147"/>
      <c r="T36" s="147">
        <f>-T34</f>
        <v>0</v>
      </c>
    </row>
    <row r="37" spans="1:22" x14ac:dyDescent="0.35">
      <c r="A37" s="182">
        <f>A35*T24</f>
        <v>0</v>
      </c>
      <c r="P37" s="97"/>
      <c r="T37" s="146"/>
      <c r="V37" s="147">
        <f>V35-T36</f>
        <v>0</v>
      </c>
    </row>
    <row r="38" spans="1:22" x14ac:dyDescent="0.35">
      <c r="P38" s="133"/>
      <c r="R38" s="146">
        <f>P37*T33</f>
        <v>0</v>
      </c>
      <c r="T38" s="147"/>
      <c r="U38" s="146"/>
    </row>
    <row r="40" spans="1:22" x14ac:dyDescent="0.35">
      <c r="A40" s="10" t="s">
        <v>155</v>
      </c>
      <c r="T40" s="147"/>
      <c r="U40" s="147"/>
    </row>
    <row r="41" spans="1:22" x14ac:dyDescent="0.35">
      <c r="U41" s="147"/>
    </row>
  </sheetData>
  <mergeCells count="4">
    <mergeCell ref="D2:J2"/>
    <mergeCell ref="L2:P2"/>
    <mergeCell ref="L31:O31"/>
    <mergeCell ref="L32:O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0" workbookViewId="0">
      <selection activeCell="J25" sqref="J25:J28"/>
    </sheetView>
  </sheetViews>
  <sheetFormatPr baseColWidth="10" defaultColWidth="8.81640625" defaultRowHeight="14.5" x14ac:dyDescent="0.35"/>
  <cols>
    <col min="1" max="1" width="16.453125" customWidth="1"/>
    <col min="2" max="2" width="11.54296875" customWidth="1"/>
    <col min="3" max="3" width="7" customWidth="1"/>
    <col min="4" max="4" width="16" style="10" customWidth="1"/>
    <col min="5" max="9" width="7.54296875" style="97" customWidth="1"/>
    <col min="10" max="10" width="41.81640625" style="97" customWidth="1"/>
    <col min="11" max="11" width="33.1796875" style="97" customWidth="1"/>
  </cols>
  <sheetData>
    <row r="1" spans="1:11" x14ac:dyDescent="0.35">
      <c r="A1" t="s">
        <v>156</v>
      </c>
    </row>
    <row r="3" spans="1:11" x14ac:dyDescent="0.35">
      <c r="A3" s="134" t="s">
        <v>157</v>
      </c>
      <c r="B3" s="134" t="s">
        <v>158</v>
      </c>
      <c r="D3" s="10" t="s">
        <v>155</v>
      </c>
      <c r="F3" s="97" t="s">
        <v>155</v>
      </c>
    </row>
    <row r="4" spans="1:11" x14ac:dyDescent="0.35">
      <c r="A4" s="134">
        <v>1</v>
      </c>
      <c r="B4" s="134" t="s">
        <v>159</v>
      </c>
      <c r="D4" s="10" t="s">
        <v>155</v>
      </c>
      <c r="F4" s="97" t="s">
        <v>155</v>
      </c>
    </row>
    <row r="5" spans="1:11" x14ac:dyDescent="0.35">
      <c r="A5" t="s">
        <v>155</v>
      </c>
      <c r="D5" s="10" t="s">
        <v>155</v>
      </c>
      <c r="F5" s="97" t="s">
        <v>155</v>
      </c>
    </row>
    <row r="6" spans="1:11" x14ac:dyDescent="0.35">
      <c r="A6" t="s">
        <v>155</v>
      </c>
      <c r="D6" s="10" t="s">
        <v>155</v>
      </c>
      <c r="F6" s="97" t="s">
        <v>155</v>
      </c>
    </row>
    <row r="9" spans="1:11" x14ac:dyDescent="0.35">
      <c r="A9" s="100" t="s">
        <v>160</v>
      </c>
      <c r="B9" s="100" t="s">
        <v>123</v>
      </c>
      <c r="C9" s="100" t="s">
        <v>161</v>
      </c>
      <c r="D9" s="98" t="s">
        <v>121</v>
      </c>
      <c r="E9" s="259" t="s">
        <v>162</v>
      </c>
      <c r="F9" s="260"/>
      <c r="G9" s="260"/>
      <c r="H9" s="260"/>
      <c r="I9" s="261"/>
      <c r="J9" s="135" t="s">
        <v>163</v>
      </c>
      <c r="K9" s="135" t="s">
        <v>164</v>
      </c>
    </row>
    <row r="10" spans="1:11" x14ac:dyDescent="0.35">
      <c r="A10" s="100" t="s">
        <v>165</v>
      </c>
      <c r="B10" s="100"/>
      <c r="C10" s="100"/>
      <c r="D10" s="98"/>
      <c r="E10" s="101">
        <v>2019</v>
      </c>
      <c r="F10" s="101">
        <v>2020</v>
      </c>
      <c r="G10" s="101">
        <v>2021</v>
      </c>
      <c r="H10" s="101">
        <v>2022</v>
      </c>
      <c r="I10" s="101">
        <v>2023</v>
      </c>
      <c r="J10" s="101"/>
      <c r="K10" s="101"/>
    </row>
    <row r="11" spans="1:11" ht="41.5" customHeight="1" x14ac:dyDescent="0.35">
      <c r="A11" s="256" t="s">
        <v>166</v>
      </c>
      <c r="B11" s="262">
        <f>B14</f>
        <v>600000</v>
      </c>
      <c r="C11" s="262">
        <v>0</v>
      </c>
      <c r="D11" s="265" t="s">
        <v>155</v>
      </c>
      <c r="E11" s="262">
        <f>$A$4*2</f>
        <v>2</v>
      </c>
      <c r="F11" s="262">
        <v>0</v>
      </c>
      <c r="G11" s="262">
        <v>0</v>
      </c>
      <c r="H11" s="262">
        <v>0</v>
      </c>
      <c r="I11" s="268">
        <v>0</v>
      </c>
      <c r="J11" s="251" t="s">
        <v>167</v>
      </c>
      <c r="K11" s="254" t="s">
        <v>168</v>
      </c>
    </row>
    <row r="12" spans="1:11" ht="68.150000000000006" customHeight="1" x14ac:dyDescent="0.35">
      <c r="A12" s="257"/>
      <c r="B12" s="263"/>
      <c r="C12" s="263"/>
      <c r="D12" s="266"/>
      <c r="E12" s="263"/>
      <c r="F12" s="263"/>
      <c r="G12" s="263"/>
      <c r="H12" s="263"/>
      <c r="I12" s="269"/>
      <c r="J12" s="252"/>
      <c r="K12" s="255"/>
    </row>
    <row r="13" spans="1:11" ht="74.150000000000006" customHeight="1" x14ac:dyDescent="0.35">
      <c r="A13" s="258"/>
      <c r="B13" s="264"/>
      <c r="C13" s="264"/>
      <c r="D13" s="267"/>
      <c r="E13" s="264"/>
      <c r="F13" s="264"/>
      <c r="G13" s="264"/>
      <c r="H13" s="264"/>
      <c r="I13" s="270"/>
      <c r="J13" s="253"/>
      <c r="K13" s="255"/>
    </row>
    <row r="14" spans="1:11" x14ac:dyDescent="0.35">
      <c r="A14" s="103"/>
      <c r="B14" s="136">
        <f>SUM(E14:I14)</f>
        <v>600000</v>
      </c>
      <c r="C14" s="137"/>
      <c r="D14" s="138"/>
      <c r="E14" s="136">
        <f>E11*300000</f>
        <v>600000</v>
      </c>
      <c r="F14" s="136">
        <f>SUM(F11:F13)</f>
        <v>0</v>
      </c>
      <c r="G14" s="136">
        <f>SUM(G11:G13)</f>
        <v>0</v>
      </c>
      <c r="H14" s="136">
        <f>SUM(H11:H13)</f>
        <v>0</v>
      </c>
      <c r="I14" s="136">
        <f>SUM(I11:I13)</f>
        <v>0</v>
      </c>
      <c r="J14" s="136"/>
      <c r="K14" s="136"/>
    </row>
    <row r="15" spans="1:11" ht="29.5" customHeight="1" x14ac:dyDescent="0.35">
      <c r="A15" s="256" t="s">
        <v>169</v>
      </c>
      <c r="B15" s="110">
        <f>B18</f>
        <v>200000</v>
      </c>
      <c r="C15" s="110"/>
      <c r="D15" s="108"/>
      <c r="E15" s="110"/>
      <c r="F15" s="110"/>
      <c r="G15" s="110"/>
      <c r="H15" s="110"/>
      <c r="I15" s="110"/>
      <c r="J15" s="271" t="s">
        <v>170</v>
      </c>
      <c r="K15" s="271" t="s">
        <v>171</v>
      </c>
    </row>
    <row r="16" spans="1:11" ht="55.4" customHeight="1" x14ac:dyDescent="0.35">
      <c r="A16" s="257"/>
      <c r="B16" s="139"/>
      <c r="C16" s="139">
        <v>0</v>
      </c>
      <c r="D16" s="108" t="s">
        <v>172</v>
      </c>
      <c r="E16" s="110"/>
      <c r="F16" s="110">
        <f>$A$4*4</f>
        <v>4</v>
      </c>
      <c r="G16" s="110"/>
      <c r="H16" s="110"/>
      <c r="I16" s="110"/>
      <c r="J16" s="272"/>
      <c r="K16" s="272"/>
    </row>
    <row r="17" spans="1:11" ht="65.5" customHeight="1" x14ac:dyDescent="0.35">
      <c r="A17" s="258"/>
      <c r="B17" s="139"/>
      <c r="C17" s="139">
        <v>0</v>
      </c>
      <c r="D17" s="108" t="s">
        <v>173</v>
      </c>
      <c r="E17" s="110"/>
      <c r="F17" s="110"/>
      <c r="G17" s="110"/>
      <c r="H17" s="110">
        <f>A4*4</f>
        <v>4</v>
      </c>
      <c r="I17" s="110"/>
      <c r="J17" s="272"/>
      <c r="K17" s="272"/>
    </row>
    <row r="18" spans="1:11" x14ac:dyDescent="0.35">
      <c r="A18" s="103"/>
      <c r="B18" s="136">
        <f>SUM(E18:I18)</f>
        <v>200000</v>
      </c>
      <c r="C18" s="136"/>
      <c r="D18" s="138"/>
      <c r="E18" s="136"/>
      <c r="F18" s="136">
        <f>F16*25000</f>
        <v>100000</v>
      </c>
      <c r="G18" s="136">
        <v>0</v>
      </c>
      <c r="H18" s="136">
        <f>H17*25000</f>
        <v>100000</v>
      </c>
      <c r="I18" s="136">
        <f>SUM(I16:I17)</f>
        <v>0</v>
      </c>
      <c r="J18" s="136"/>
      <c r="K18" s="136"/>
    </row>
    <row r="19" spans="1:11" ht="29.15" customHeight="1" x14ac:dyDescent="0.35">
      <c r="A19" s="256" t="s">
        <v>174</v>
      </c>
      <c r="B19" s="110">
        <f>B24</f>
        <v>875000</v>
      </c>
      <c r="C19" s="110"/>
      <c r="D19" s="108"/>
      <c r="E19" s="110" t="s">
        <v>155</v>
      </c>
      <c r="F19" s="110"/>
      <c r="G19" s="110"/>
      <c r="H19" s="110"/>
      <c r="I19" s="110"/>
      <c r="J19" s="271" t="s">
        <v>175</v>
      </c>
      <c r="K19" s="271" t="s">
        <v>176</v>
      </c>
    </row>
    <row r="20" spans="1:11" ht="54" customHeight="1" x14ac:dyDescent="0.35">
      <c r="A20" s="257"/>
      <c r="B20" s="139"/>
      <c r="C20" s="139">
        <v>0</v>
      </c>
      <c r="D20" s="108" t="s">
        <v>133</v>
      </c>
      <c r="E20" s="110">
        <f>A4*0</f>
        <v>0</v>
      </c>
      <c r="F20" s="110">
        <f>$A$4*0</f>
        <v>0</v>
      </c>
      <c r="G20" s="110">
        <f>$A$4*5</f>
        <v>5</v>
      </c>
      <c r="H20" s="110">
        <f>$A$4*5</f>
        <v>5</v>
      </c>
      <c r="I20" s="110">
        <f>$A$4*5</f>
        <v>5</v>
      </c>
      <c r="J20" s="271"/>
      <c r="K20" s="271"/>
    </row>
    <row r="21" spans="1:11" ht="66.650000000000006" customHeight="1" x14ac:dyDescent="0.35">
      <c r="A21" s="257"/>
      <c r="B21" s="139"/>
      <c r="C21" s="139">
        <v>0</v>
      </c>
      <c r="D21" s="108" t="s">
        <v>134</v>
      </c>
      <c r="E21" s="110">
        <v>10</v>
      </c>
      <c r="F21" s="110">
        <v>40</v>
      </c>
      <c r="G21" s="110">
        <f>$A$4*40</f>
        <v>40</v>
      </c>
      <c r="H21" s="110">
        <f>$A$4*40</f>
        <v>40</v>
      </c>
      <c r="I21" s="110">
        <f>$A$4*40</f>
        <v>40</v>
      </c>
      <c r="J21" s="271"/>
      <c r="K21" s="271"/>
    </row>
    <row r="22" spans="1:11" ht="65.150000000000006" customHeight="1" x14ac:dyDescent="0.35">
      <c r="A22" s="257"/>
      <c r="B22" s="139"/>
      <c r="C22" s="139"/>
      <c r="D22" s="108" t="s">
        <v>177</v>
      </c>
      <c r="E22" s="110"/>
      <c r="F22" s="110">
        <f>$A$4*25</f>
        <v>25</v>
      </c>
      <c r="G22" s="110">
        <f>$A$4*25</f>
        <v>25</v>
      </c>
      <c r="H22" s="110">
        <f>$A$4*50</f>
        <v>50</v>
      </c>
      <c r="I22" s="110">
        <f>$A$4*50</f>
        <v>50</v>
      </c>
      <c r="J22" s="271"/>
      <c r="K22" s="271"/>
    </row>
    <row r="23" spans="1:11" ht="52.4" customHeight="1" x14ac:dyDescent="0.35">
      <c r="A23" s="258"/>
      <c r="B23" s="139"/>
      <c r="C23" s="139"/>
      <c r="D23" s="108" t="s">
        <v>178</v>
      </c>
      <c r="E23" s="110">
        <f>$A$4*20</f>
        <v>20</v>
      </c>
      <c r="F23" s="110">
        <f>$A$4*50</f>
        <v>50</v>
      </c>
      <c r="G23" s="110">
        <f>$A$4*50</f>
        <v>50</v>
      </c>
      <c r="H23" s="110">
        <f>$A$4*50</f>
        <v>50</v>
      </c>
      <c r="I23" s="110">
        <f>$A$4*50</f>
        <v>50</v>
      </c>
      <c r="J23" s="271"/>
      <c r="K23" s="271"/>
    </row>
    <row r="24" spans="1:11" x14ac:dyDescent="0.35">
      <c r="A24" s="103"/>
      <c r="B24" s="136">
        <f>SUM(E24:I24)</f>
        <v>875000</v>
      </c>
      <c r="C24" s="136"/>
      <c r="D24" s="138"/>
      <c r="E24" s="136">
        <f>$A$4*(25000+21000)</f>
        <v>46000</v>
      </c>
      <c r="F24" s="136">
        <f>$A$4*(95000+57000+10000)</f>
        <v>162000</v>
      </c>
      <c r="G24" s="136">
        <f>$A$4*(55000+95000+57000+10000)</f>
        <v>217000</v>
      </c>
      <c r="H24" s="136">
        <f>$A$4*(55000+95000+55000+20000)</f>
        <v>225000</v>
      </c>
      <c r="I24" s="136">
        <f>$A$4*(55000+95000+55000+20000)</f>
        <v>225000</v>
      </c>
      <c r="J24" s="136"/>
      <c r="K24" s="136"/>
    </row>
    <row r="25" spans="1:11" ht="28.4" customHeight="1" x14ac:dyDescent="0.35">
      <c r="A25" s="256" t="s">
        <v>179</v>
      </c>
      <c r="B25" s="110">
        <f>B29</f>
        <v>1590000</v>
      </c>
      <c r="C25" s="110"/>
      <c r="D25" s="108"/>
      <c r="E25" s="110"/>
      <c r="F25" s="110"/>
      <c r="G25" s="110"/>
      <c r="H25" s="110"/>
      <c r="I25" s="110"/>
      <c r="J25" s="271" t="s">
        <v>180</v>
      </c>
      <c r="K25" s="271" t="s">
        <v>181</v>
      </c>
    </row>
    <row r="26" spans="1:11" ht="47.5" customHeight="1" x14ac:dyDescent="0.35">
      <c r="A26" s="257"/>
      <c r="B26" s="139"/>
      <c r="C26" s="139"/>
      <c r="D26" s="108" t="s">
        <v>138</v>
      </c>
      <c r="E26" s="110"/>
      <c r="F26" s="110">
        <f>$A$4*2</f>
        <v>2</v>
      </c>
      <c r="G26" s="110">
        <f>$A$4</f>
        <v>1</v>
      </c>
      <c r="H26" s="110"/>
      <c r="I26" s="110">
        <f>$A$4</f>
        <v>1</v>
      </c>
      <c r="J26" s="272"/>
      <c r="K26" s="271"/>
    </row>
    <row r="27" spans="1:11" ht="75.650000000000006" customHeight="1" x14ac:dyDescent="0.35">
      <c r="A27" s="257"/>
      <c r="B27" s="139"/>
      <c r="C27" s="139"/>
      <c r="D27" s="108" t="s">
        <v>139</v>
      </c>
      <c r="E27" s="110">
        <f>$A$4*3</f>
        <v>3</v>
      </c>
      <c r="F27" s="110">
        <f>$A$4*3</f>
        <v>3</v>
      </c>
      <c r="G27" s="110">
        <f>$A$4*4</f>
        <v>4</v>
      </c>
      <c r="H27" s="110">
        <f>$A$4*4</f>
        <v>4</v>
      </c>
      <c r="I27" s="110">
        <f>$A$4*5</f>
        <v>5</v>
      </c>
      <c r="J27" s="272"/>
      <c r="K27" s="271"/>
    </row>
    <row r="28" spans="1:11" ht="69.650000000000006" customHeight="1" x14ac:dyDescent="0.35">
      <c r="A28" s="258"/>
      <c r="B28" s="139"/>
      <c r="C28" s="139"/>
      <c r="D28" s="108" t="s">
        <v>140</v>
      </c>
      <c r="G28" s="110">
        <f>$A$4*2</f>
        <v>2</v>
      </c>
      <c r="H28" s="110">
        <f>$A$4</f>
        <v>1</v>
      </c>
      <c r="I28" s="110"/>
      <c r="J28" s="272"/>
      <c r="K28" s="271"/>
    </row>
    <row r="29" spans="1:11" x14ac:dyDescent="0.35">
      <c r="A29" s="103"/>
      <c r="B29" s="136">
        <f>SUM(E29:I29)</f>
        <v>1590000</v>
      </c>
      <c r="C29" s="137"/>
      <c r="D29" s="138"/>
      <c r="E29" s="136">
        <f>($A$4*30000)</f>
        <v>30000</v>
      </c>
      <c r="F29" s="136">
        <f>($A$4*30000)+$A$4*(100000)</f>
        <v>130000</v>
      </c>
      <c r="G29" s="136">
        <f>($A$4*40000)+($A$4*2*300000)+($A$4*100000)</f>
        <v>740000</v>
      </c>
      <c r="H29" s="136">
        <f>($A$4*40000)+$A$4*300000</f>
        <v>340000</v>
      </c>
      <c r="I29" s="136">
        <f>($A$4*50000)+$A$4*300000</f>
        <v>350000</v>
      </c>
      <c r="J29" s="136"/>
      <c r="K29" s="136"/>
    </row>
    <row r="30" spans="1:11" ht="44.5" customHeight="1" x14ac:dyDescent="0.35">
      <c r="A30" s="256" t="s">
        <v>182</v>
      </c>
      <c r="B30" s="110">
        <f>B34</f>
        <v>620000</v>
      </c>
      <c r="C30" s="110"/>
      <c r="D30" s="108"/>
      <c r="E30" s="110"/>
      <c r="F30" s="110"/>
      <c r="G30" s="110" t="s">
        <v>155</v>
      </c>
      <c r="H30" s="110"/>
      <c r="I30" s="110"/>
      <c r="J30" s="271" t="s">
        <v>183</v>
      </c>
      <c r="K30" s="271" t="s">
        <v>184</v>
      </c>
    </row>
    <row r="31" spans="1:11" ht="65.150000000000006" customHeight="1" x14ac:dyDescent="0.35">
      <c r="A31" s="257"/>
      <c r="B31" s="139"/>
      <c r="C31" s="139"/>
      <c r="D31" s="108" t="s">
        <v>142</v>
      </c>
      <c r="E31" s="110">
        <f>25000*$A$4</f>
        <v>25000</v>
      </c>
      <c r="F31" s="110">
        <f>$A$4*75000</f>
        <v>75000</v>
      </c>
      <c r="G31" s="110">
        <f>$A$4*100000</f>
        <v>100000</v>
      </c>
      <c r="H31" s="110">
        <f>$A$4*100000</f>
        <v>100000</v>
      </c>
      <c r="I31" s="110">
        <f>$A$4*95000</f>
        <v>95000</v>
      </c>
      <c r="J31" s="271"/>
      <c r="K31" s="271"/>
    </row>
    <row r="32" spans="1:11" ht="62.15" customHeight="1" x14ac:dyDescent="0.35">
      <c r="A32" s="257"/>
      <c r="B32" s="139"/>
      <c r="C32" s="139"/>
      <c r="D32" s="108" t="s">
        <v>185</v>
      </c>
      <c r="E32" s="110">
        <f>$A$4*10</f>
        <v>10</v>
      </c>
      <c r="F32" s="110">
        <f>$A$4*50</f>
        <v>50</v>
      </c>
      <c r="G32" s="110">
        <f>$A$4*55</f>
        <v>55</v>
      </c>
      <c r="H32" s="110">
        <f>$A$4*55</f>
        <v>55</v>
      </c>
      <c r="I32" s="110">
        <f>$A$4*55</f>
        <v>55</v>
      </c>
      <c r="J32" s="271"/>
      <c r="K32" s="271"/>
    </row>
    <row r="33" spans="1:11" ht="71.150000000000006" customHeight="1" x14ac:dyDescent="0.35">
      <c r="A33" s="258"/>
      <c r="B33" s="139"/>
      <c r="C33" s="139"/>
      <c r="D33" s="108" t="s">
        <v>186</v>
      </c>
      <c r="E33" s="110"/>
      <c r="F33" s="110"/>
      <c r="G33" s="110"/>
      <c r="H33" s="110"/>
      <c r="I33" s="110"/>
      <c r="J33" s="271"/>
      <c r="K33" s="271"/>
    </row>
    <row r="34" spans="1:11" x14ac:dyDescent="0.35">
      <c r="A34" s="103"/>
      <c r="B34" s="136">
        <f>SUM(E34:I34)</f>
        <v>620000</v>
      </c>
      <c r="C34" s="137"/>
      <c r="D34" s="138"/>
      <c r="E34" s="136">
        <f>E31 + (E32*1000)</f>
        <v>35000</v>
      </c>
      <c r="F34" s="136">
        <f>F31 + (F32*1000)</f>
        <v>125000</v>
      </c>
      <c r="G34" s="136">
        <f>G31 + (G32*1000) +(G33*100000)</f>
        <v>155000</v>
      </c>
      <c r="H34" s="136">
        <f>H31 + (H32*1000)</f>
        <v>155000</v>
      </c>
      <c r="I34" s="136">
        <f>I31 + (I32*1000)</f>
        <v>150000</v>
      </c>
      <c r="J34" s="136"/>
      <c r="K34" s="136"/>
    </row>
    <row r="35" spans="1:11" ht="26.5" customHeight="1" x14ac:dyDescent="0.35">
      <c r="A35" s="256" t="s">
        <v>187</v>
      </c>
      <c r="B35" s="110">
        <f>B40</f>
        <v>240000</v>
      </c>
      <c r="C35" s="110"/>
      <c r="D35" s="108"/>
      <c r="E35" s="110"/>
      <c r="F35" s="110"/>
      <c r="G35" s="110"/>
      <c r="H35" s="110"/>
      <c r="I35" s="110"/>
      <c r="J35" s="276" t="s">
        <v>188</v>
      </c>
      <c r="K35" s="279" t="s">
        <v>189</v>
      </c>
    </row>
    <row r="36" spans="1:11" ht="29.15" customHeight="1" x14ac:dyDescent="0.35">
      <c r="A36" s="257"/>
      <c r="B36" s="139"/>
      <c r="C36" s="139"/>
      <c r="D36" s="108" t="s">
        <v>145</v>
      </c>
      <c r="E36" s="110"/>
      <c r="F36" s="110">
        <f t="shared" ref="E36:I39" si="0">$A$4</f>
        <v>1</v>
      </c>
      <c r="G36" s="110">
        <f t="shared" si="0"/>
        <v>1</v>
      </c>
      <c r="H36" s="110">
        <f t="shared" si="0"/>
        <v>1</v>
      </c>
      <c r="I36" s="110">
        <f t="shared" si="0"/>
        <v>1</v>
      </c>
      <c r="J36" s="277"/>
      <c r="K36" s="279"/>
    </row>
    <row r="37" spans="1:11" ht="36.65" customHeight="1" x14ac:dyDescent="0.35">
      <c r="A37" s="257"/>
      <c r="B37" s="139"/>
      <c r="C37" s="139"/>
      <c r="D37" s="108" t="s">
        <v>146</v>
      </c>
      <c r="E37" s="110">
        <f t="shared" si="0"/>
        <v>1</v>
      </c>
      <c r="F37" s="110">
        <f t="shared" si="0"/>
        <v>1</v>
      </c>
      <c r="G37" s="110"/>
      <c r="H37" s="110">
        <f t="shared" si="0"/>
        <v>1</v>
      </c>
      <c r="I37" s="110">
        <f t="shared" si="0"/>
        <v>1</v>
      </c>
      <c r="J37" s="277"/>
      <c r="K37" s="279"/>
    </row>
    <row r="38" spans="1:11" ht="33" customHeight="1" x14ac:dyDescent="0.35">
      <c r="A38" s="257"/>
      <c r="B38" s="139"/>
      <c r="C38" s="139"/>
      <c r="D38" s="108" t="s">
        <v>147</v>
      </c>
      <c r="E38" s="110">
        <f t="shared" si="0"/>
        <v>1</v>
      </c>
      <c r="F38" s="110">
        <f t="shared" si="0"/>
        <v>1</v>
      </c>
      <c r="G38" s="110">
        <f t="shared" si="0"/>
        <v>1</v>
      </c>
      <c r="H38" s="110">
        <f t="shared" si="0"/>
        <v>1</v>
      </c>
      <c r="I38" s="110">
        <f t="shared" si="0"/>
        <v>1</v>
      </c>
      <c r="J38" s="277"/>
      <c r="K38" s="279"/>
    </row>
    <row r="39" spans="1:11" ht="73.400000000000006" customHeight="1" x14ac:dyDescent="0.35">
      <c r="A39" s="258"/>
      <c r="B39" s="139"/>
      <c r="C39" s="139"/>
      <c r="D39" s="108" t="s">
        <v>148</v>
      </c>
      <c r="E39" s="110"/>
      <c r="F39" s="110">
        <f t="shared" si="0"/>
        <v>1</v>
      </c>
      <c r="G39" s="110">
        <f t="shared" si="0"/>
        <v>1</v>
      </c>
      <c r="H39" s="110">
        <f t="shared" si="0"/>
        <v>1</v>
      </c>
      <c r="I39" s="110"/>
      <c r="J39" s="278"/>
      <c r="K39" s="279"/>
    </row>
    <row r="40" spans="1:11" x14ac:dyDescent="0.35">
      <c r="A40" s="103"/>
      <c r="B40" s="136">
        <f>SUM(E40:I40)</f>
        <v>240000</v>
      </c>
      <c r="C40" s="137"/>
      <c r="D40" s="138"/>
      <c r="E40" s="136">
        <f>SUM(E36:E39)*15000</f>
        <v>30000</v>
      </c>
      <c r="F40" s="136">
        <f>SUM(F36:F39)*15000</f>
        <v>60000</v>
      </c>
      <c r="G40" s="136">
        <f>SUM(G36:G39)*15000</f>
        <v>45000</v>
      </c>
      <c r="H40" s="136">
        <f>SUM(H36:H39)*15000</f>
        <v>60000</v>
      </c>
      <c r="I40" s="136">
        <f>SUM(I36:I39)*15000</f>
        <v>45000</v>
      </c>
      <c r="J40" s="136"/>
      <c r="K40" s="136"/>
    </row>
    <row r="41" spans="1:11" ht="32.5" customHeight="1" x14ac:dyDescent="0.35">
      <c r="A41" s="256" t="s">
        <v>190</v>
      </c>
      <c r="B41" s="110">
        <f>B47</f>
        <v>375000</v>
      </c>
      <c r="C41" s="110"/>
      <c r="D41" s="108"/>
      <c r="E41" s="110"/>
      <c r="F41" s="110"/>
      <c r="G41" s="110"/>
      <c r="H41" s="110"/>
      <c r="I41" s="110"/>
      <c r="J41" s="273" t="s">
        <v>191</v>
      </c>
      <c r="K41" s="273" t="s">
        <v>192</v>
      </c>
    </row>
    <row r="42" spans="1:11" ht="33" customHeight="1" x14ac:dyDescent="0.35">
      <c r="A42" s="257"/>
      <c r="B42" s="139"/>
      <c r="C42" s="139"/>
      <c r="D42" s="108" t="s">
        <v>150</v>
      </c>
      <c r="E42" s="110"/>
      <c r="F42" s="110"/>
      <c r="G42" s="110"/>
      <c r="H42" s="110">
        <f>$A$4</f>
        <v>1</v>
      </c>
      <c r="I42" s="110"/>
      <c r="J42" s="274"/>
      <c r="K42" s="274"/>
    </row>
    <row r="43" spans="1:11" ht="43.4" customHeight="1" x14ac:dyDescent="0.35">
      <c r="A43" s="257"/>
      <c r="B43" s="139"/>
      <c r="C43" s="139"/>
      <c r="D43" s="108" t="s">
        <v>193</v>
      </c>
      <c r="E43" s="110"/>
      <c r="F43" s="110"/>
      <c r="G43" s="110"/>
      <c r="H43" s="110"/>
      <c r="I43" s="110" t="s">
        <v>155</v>
      </c>
      <c r="J43" s="274"/>
      <c r="K43" s="274"/>
    </row>
    <row r="44" spans="1:11" ht="22" x14ac:dyDescent="0.35">
      <c r="A44" s="257"/>
      <c r="B44" s="139"/>
      <c r="C44" s="139"/>
      <c r="D44" s="108" t="s">
        <v>151</v>
      </c>
      <c r="E44" s="110"/>
      <c r="F44" s="110"/>
      <c r="G44" s="110">
        <f>$A$4*1</f>
        <v>1</v>
      </c>
      <c r="H44" s="110"/>
      <c r="I44" s="110"/>
      <c r="J44" s="274"/>
      <c r="K44" s="274"/>
    </row>
    <row r="45" spans="1:11" ht="36" customHeight="1" x14ac:dyDescent="0.35">
      <c r="A45" s="258"/>
      <c r="B45" s="139"/>
      <c r="C45" s="139"/>
      <c r="D45" s="108" t="s">
        <v>152</v>
      </c>
      <c r="E45" s="110"/>
      <c r="F45" s="110">
        <f>$A$4*1</f>
        <v>1</v>
      </c>
      <c r="G45" s="110"/>
      <c r="H45" s="110">
        <f>$A$4*1</f>
        <v>1</v>
      </c>
      <c r="I45" s="110"/>
      <c r="J45" s="274"/>
      <c r="K45" s="274"/>
    </row>
    <row r="46" spans="1:11" ht="36" customHeight="1" x14ac:dyDescent="0.35">
      <c r="A46" s="140"/>
      <c r="B46" s="139"/>
      <c r="C46" s="139"/>
      <c r="D46" s="141" t="s">
        <v>153</v>
      </c>
      <c r="E46" s="110"/>
      <c r="F46" s="110"/>
      <c r="G46" s="110"/>
      <c r="H46" s="110"/>
      <c r="I46" s="110">
        <f>$A$4</f>
        <v>1</v>
      </c>
      <c r="J46" s="275"/>
      <c r="K46" s="275"/>
    </row>
    <row r="47" spans="1:11" x14ac:dyDescent="0.35">
      <c r="A47" s="103"/>
      <c r="B47" s="136">
        <f>SUM(E47:I47)</f>
        <v>375000</v>
      </c>
      <c r="C47" s="137"/>
      <c r="D47" s="138"/>
      <c r="E47" s="136">
        <f>SUM(E42:E45)</f>
        <v>0</v>
      </c>
      <c r="F47" s="136">
        <f>$A$4*(50000)</f>
        <v>50000</v>
      </c>
      <c r="G47" s="136">
        <f>$A$4*(75000)</f>
        <v>75000</v>
      </c>
      <c r="H47" s="136">
        <f>$A$4*(50000)+$A$4*100000</f>
        <v>150000</v>
      </c>
      <c r="I47" s="136">
        <f>$A$4*100000</f>
        <v>100000</v>
      </c>
      <c r="J47" s="136"/>
      <c r="K47" s="136"/>
    </row>
    <row r="48" spans="1:11" x14ac:dyDescent="0.35">
      <c r="A48" s="100"/>
      <c r="B48" s="139"/>
      <c r="C48" s="139"/>
      <c r="D48" s="108"/>
      <c r="E48" s="110"/>
      <c r="F48" s="110"/>
      <c r="G48" s="110"/>
      <c r="H48" s="110"/>
      <c r="I48" s="110"/>
      <c r="J48" s="110"/>
      <c r="K48" s="110"/>
    </row>
    <row r="49" spans="1:11" ht="28.4" customHeight="1" x14ac:dyDescent="0.35">
      <c r="A49" s="142" t="s">
        <v>194</v>
      </c>
      <c r="B49" s="126">
        <f>B14+B18+B24+B29+B34+B40+B47</f>
        <v>4500000</v>
      </c>
      <c r="C49" s="126"/>
      <c r="D49" s="108"/>
      <c r="E49" s="127">
        <f>E14+E18+E24+E29+E34+E40+E47</f>
        <v>741000</v>
      </c>
      <c r="F49" s="127">
        <f>F14+F18+F24+F29+F34+F40+F47</f>
        <v>627000</v>
      </c>
      <c r="G49" s="126">
        <f>G14+G18+G24+G29+G34+G40+G47</f>
        <v>1232000</v>
      </c>
      <c r="H49" s="126">
        <f>H14+H18+H24+H29+H34+H40+H47</f>
        <v>1030000</v>
      </c>
      <c r="I49" s="127">
        <f>I14+I18+I24+I29+I34+I40+I47</f>
        <v>870000</v>
      </c>
      <c r="J49" s="127"/>
      <c r="K49" s="110"/>
    </row>
    <row r="55" spans="1:11" x14ac:dyDescent="0.35">
      <c r="D55" s="10" t="s">
        <v>155</v>
      </c>
    </row>
    <row r="58" spans="1:11" x14ac:dyDescent="0.35">
      <c r="D58" s="10" t="s">
        <v>155</v>
      </c>
    </row>
  </sheetData>
  <mergeCells count="30">
    <mergeCell ref="A41:A45"/>
    <mergeCell ref="J41:J46"/>
    <mergeCell ref="K41:K46"/>
    <mergeCell ref="A30:A33"/>
    <mergeCell ref="J30:J33"/>
    <mergeCell ref="K30:K33"/>
    <mergeCell ref="A35:A39"/>
    <mergeCell ref="J35:J39"/>
    <mergeCell ref="K35:K39"/>
    <mergeCell ref="A25:A28"/>
    <mergeCell ref="J25:J28"/>
    <mergeCell ref="K25:K28"/>
    <mergeCell ref="A19:A23"/>
    <mergeCell ref="J19:J23"/>
    <mergeCell ref="K19:K23"/>
    <mergeCell ref="J11:J13"/>
    <mergeCell ref="K11:K13"/>
    <mergeCell ref="A15:A17"/>
    <mergeCell ref="E9:I9"/>
    <mergeCell ref="A11:A13"/>
    <mergeCell ref="B11:B13"/>
    <mergeCell ref="C11:C13"/>
    <mergeCell ref="D11:D13"/>
    <mergeCell ref="E11:E13"/>
    <mergeCell ref="F11:F13"/>
    <mergeCell ref="G11:G13"/>
    <mergeCell ref="H11:H13"/>
    <mergeCell ref="I11:I13"/>
    <mergeCell ref="J15:J17"/>
    <mergeCell ref="K15:K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21" ma:contentTypeDescription="Create a new document." ma:contentTypeScope="" ma:versionID="ea059776a27b5f27ca2a3ae589bea7b1">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aa87a2e743674f144f46ce9147a2922a"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DF1D51-8F4C-4AD5-944A-DBD9A827139F}">
  <ds:schemaRefs>
    <ds:schemaRef ds:uri="http://schemas.microsoft.com/sharepoint/v3/contenttype/forms"/>
  </ds:schemaRefs>
</ds:datastoreItem>
</file>

<file path=customXml/itemProps2.xml><?xml version="1.0" encoding="utf-8"?>
<ds:datastoreItem xmlns:ds="http://schemas.openxmlformats.org/officeDocument/2006/customXml" ds:itemID="{460220F0-58ED-4968-A2AC-DDDB8273E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268A0-2CCB-4349-A1A6-F8BB2AC4AC2F}">
  <ds:schemaRefs>
    <ds:schemaRef ds:uri="http://www.w3.org/XML/1998/namespace"/>
    <ds:schemaRef ds:uri="http://purl.org/dc/terms/"/>
    <ds:schemaRef ds:uri="http://purl.org/dc/elements/1.1/"/>
    <ds:schemaRef ds:uri="794cbd40-fc6d-4c0a-9217-0f6cd4b26116"/>
    <ds:schemaRef ds:uri="aeaaafad-0aeb-47f1-beb2-3e40a0446ae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PTBA_2025</vt:lpstr>
      <vt:lpstr>Etat_decaissement</vt:lpstr>
      <vt:lpstr>Table_DLI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Harrison</dc:creator>
  <cp:lastModifiedBy>HP</cp:lastModifiedBy>
  <cp:revision/>
  <cp:lastPrinted>2025-02-06T11:58:07Z</cp:lastPrinted>
  <dcterms:created xsi:type="dcterms:W3CDTF">2018-12-14T02:06:16Z</dcterms:created>
  <dcterms:modified xsi:type="dcterms:W3CDTF">2025-02-24T14:40:11Z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MediaServiceImageTags">
    <vt:lpwstr/>
  </property>
</Properties>
</file>